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012027A\AppData\Local\Microsoft\Windows\INetCache\Content.Outlook\AHM02RBD\"/>
    </mc:Choice>
  </mc:AlternateContent>
  <xr:revisionPtr revIDLastSave="0" documentId="13_ncr:1_{7B7524A8-9535-48EA-9667-8EE7B0A9A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if gazole B7 ORC en cours" sheetId="1" r:id="rId1"/>
    <sheet name="Tarif B100 ORC en cours" sheetId="3" r:id="rId2"/>
    <sheet name="Historique tarifs gazole SNCF" sheetId="4" state="hidden" r:id="rId3"/>
  </sheets>
  <externalReferences>
    <externalReference r:id="rId4"/>
  </externalReferences>
  <definedNames>
    <definedName name="_xlnm.Print_Area" localSheetId="1">'Tarif B100 ORC en cours'!$A$1:$N$20</definedName>
    <definedName name="_xlnm.Print_Area" localSheetId="0">'Tarif gazole B7 ORC en cours'!$A$2:$D$20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5" i="3" l="1"/>
  <c r="BI9" i="3" s="1"/>
  <c r="BI5" i="1"/>
  <c r="BI9" i="1" s="1"/>
  <c r="BH5" i="3"/>
  <c r="BH9" i="3"/>
  <c r="BG5" i="3"/>
  <c r="BG9" i="3" s="1"/>
  <c r="BH5" i="1"/>
  <c r="BH9" i="1"/>
  <c r="BG5" i="1"/>
  <c r="BG9" i="1" s="1"/>
  <c r="BF5" i="3"/>
  <c r="BF9" i="3"/>
  <c r="BF5" i="1"/>
  <c r="BF9" i="1" s="1"/>
  <c r="BE5" i="3"/>
  <c r="BE9" i="3" s="1"/>
  <c r="BE5" i="1"/>
  <c r="BE9" i="1"/>
  <c r="BD5" i="3"/>
  <c r="BD9" i="3"/>
  <c r="BD5" i="1"/>
  <c r="BD9" i="1"/>
  <c r="BC5" i="3"/>
  <c r="BB5" i="3"/>
  <c r="BC5" i="1"/>
  <c r="BB5" i="1"/>
  <c r="BB9" i="3" l="1"/>
  <c r="BC9" i="3"/>
  <c r="BC9" i="1" l="1"/>
  <c r="BB9" i="1"/>
  <c r="BA5" i="3"/>
  <c r="BA9" i="3" s="1"/>
  <c r="BA5" i="1"/>
  <c r="BA9" i="1" s="1"/>
  <c r="AZ5" i="3"/>
  <c r="AZ9" i="3" s="1"/>
  <c r="AZ5" i="1"/>
  <c r="AZ9" i="1" s="1"/>
  <c r="AY5" i="3"/>
  <c r="AY5" i="1"/>
  <c r="AY9" i="1" s="1"/>
  <c r="AY9" i="3"/>
  <c r="AX5" i="3"/>
  <c r="AX9" i="3" s="1"/>
  <c r="AX5" i="1"/>
  <c r="AX9" i="1" s="1"/>
  <c r="AW5" i="3"/>
  <c r="AV5" i="3"/>
  <c r="AW9" i="3" l="1"/>
  <c r="AW5" i="1"/>
  <c r="AW9" i="1"/>
  <c r="AM5" i="1"/>
  <c r="AM9" i="1"/>
  <c r="AV9" i="3"/>
  <c r="AV5" i="1"/>
  <c r="AV9" i="1" s="1"/>
  <c r="AU5" i="1"/>
  <c r="AU5" i="3" l="1"/>
  <c r="AU9" i="3"/>
  <c r="AU9" i="1"/>
  <c r="AT5" i="3"/>
  <c r="AT9" i="3"/>
  <c r="AT5" i="1"/>
  <c r="AT9" i="1"/>
  <c r="AS5" i="3"/>
  <c r="AS9" i="3" s="1"/>
  <c r="AS5" i="1"/>
  <c r="AS9" i="1"/>
  <c r="AR5" i="1"/>
  <c r="AR5" i="3"/>
  <c r="AR9" i="3" s="1"/>
  <c r="AR9" i="1"/>
  <c r="AQ5" i="3"/>
  <c r="AQ9" i="3"/>
  <c r="AQ5" i="1"/>
  <c r="AQ9" i="1"/>
  <c r="AP5" i="3"/>
  <c r="AP9" i="3" s="1"/>
  <c r="AO5" i="3"/>
  <c r="AO9" i="3"/>
  <c r="AP5" i="1"/>
  <c r="AO5" i="1"/>
  <c r="AP9" i="1" l="1"/>
  <c r="AO9" i="1"/>
  <c r="AN5" i="3"/>
  <c r="AN9" i="3" s="1"/>
  <c r="AN5" i="1"/>
  <c r="AN9" i="1" s="1"/>
  <c r="AM5" i="3"/>
  <c r="AM9" i="3"/>
  <c r="AL5" i="3"/>
  <c r="AL9" i="3"/>
  <c r="AL5" i="1"/>
  <c r="AL9" i="1" s="1"/>
  <c r="AJ5" i="3"/>
  <c r="AJ9" i="3" s="1"/>
  <c r="AK5" i="3"/>
  <c r="AK9" i="3" s="1"/>
  <c r="AK5" i="1"/>
  <c r="AK9" i="1" s="1"/>
  <c r="AJ5" i="1"/>
  <c r="AJ9" i="1" s="1"/>
  <c r="AI5" i="3"/>
  <c r="AI9" i="3" s="1"/>
  <c r="AI5" i="1"/>
  <c r="AI9" i="1" s="1"/>
  <c r="AH5" i="3"/>
  <c r="AH5" i="1"/>
  <c r="AH9" i="3" l="1"/>
  <c r="AH9" i="1"/>
  <c r="AG5" i="3"/>
  <c r="AG9" i="3" s="1"/>
  <c r="AG5" i="1"/>
  <c r="AG9" i="1" s="1"/>
  <c r="AF5" i="3"/>
  <c r="AF9" i="3" s="1"/>
  <c r="AF5" i="1"/>
  <c r="AF9" i="1"/>
  <c r="AC5" i="1"/>
  <c r="AB5" i="1"/>
  <c r="AE5" i="3"/>
  <c r="AE9" i="3" s="1"/>
  <c r="AE5" i="1"/>
  <c r="AE9" i="1"/>
  <c r="AD5" i="3"/>
  <c r="AD9" i="3" s="1"/>
  <c r="AD5" i="1"/>
  <c r="AD9" i="1" s="1"/>
  <c r="AC5" i="3" l="1"/>
  <c r="AB5" i="3"/>
  <c r="AB9" i="3"/>
  <c r="AC9" i="3"/>
  <c r="AC9" i="1"/>
  <c r="AB9" i="1"/>
  <c r="AA5" i="3"/>
  <c r="AA9" i="3"/>
  <c r="AA5" i="1"/>
  <c r="AA9" i="1" s="1"/>
  <c r="Y5" i="3"/>
  <c r="Z5" i="3"/>
  <c r="Z5" i="1"/>
  <c r="Z9" i="1" s="1"/>
  <c r="Z9" i="3" l="1"/>
  <c r="Y9" i="3"/>
  <c r="Y5" i="1"/>
  <c r="Y9" i="1" l="1"/>
  <c r="X5" i="3"/>
  <c r="X9" i="3" s="1"/>
  <c r="X5" i="1"/>
  <c r="X9" i="1" s="1"/>
  <c r="W5" i="3"/>
  <c r="W9" i="3" s="1"/>
  <c r="W5" i="1"/>
  <c r="W9" i="1" s="1"/>
  <c r="V5" i="3"/>
  <c r="V9" i="3" s="1"/>
  <c r="V5" i="1"/>
  <c r="V9" i="1" s="1"/>
  <c r="U5" i="3"/>
  <c r="U9" i="3"/>
  <c r="U5" i="1"/>
  <c r="U9" i="1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D13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D11" i="3"/>
  <c r="Q10" i="1"/>
  <c r="R10" i="1"/>
  <c r="S10" i="1"/>
  <c r="T10" i="1"/>
  <c r="P10" i="1"/>
  <c r="E10" i="1"/>
  <c r="F10" i="1"/>
  <c r="G10" i="1"/>
  <c r="H10" i="1"/>
  <c r="I10" i="1"/>
  <c r="J10" i="1"/>
  <c r="K10" i="1"/>
  <c r="L10" i="1"/>
  <c r="M10" i="1"/>
  <c r="N10" i="1"/>
  <c r="O10" i="1"/>
  <c r="D10" i="1"/>
  <c r="T5" i="3"/>
  <c r="T9" i="3" s="1"/>
  <c r="T5" i="1"/>
  <c r="T9" i="1"/>
  <c r="S5" i="3"/>
  <c r="S9" i="3" s="1"/>
  <c r="S5" i="1"/>
  <c r="S9" i="1"/>
  <c r="R5" i="1"/>
  <c r="R9" i="1" s="1"/>
  <c r="R5" i="3"/>
  <c r="R9" i="3"/>
  <c r="Q5" i="3"/>
  <c r="Q9" i="3" s="1"/>
  <c r="Q5" i="1"/>
  <c r="Q9" i="1"/>
  <c r="P5" i="3"/>
  <c r="O5" i="3"/>
  <c r="P9" i="3"/>
  <c r="P5" i="1"/>
  <c r="O5" i="1" l="1"/>
  <c r="P9" i="1"/>
  <c r="N5" i="3"/>
  <c r="N9" i="3" s="1"/>
  <c r="M5" i="3"/>
  <c r="M9" i="3" s="1"/>
  <c r="N5" i="1"/>
  <c r="N9" i="1" s="1"/>
  <c r="M5" i="1"/>
  <c r="M9" i="1" s="1"/>
  <c r="L5" i="3"/>
  <c r="L9" i="3" s="1"/>
  <c r="L5" i="1"/>
  <c r="L9" i="1" s="1"/>
  <c r="K5" i="3"/>
  <c r="K9" i="3"/>
  <c r="K5" i="1"/>
  <c r="J5" i="3"/>
  <c r="J9" i="3" s="1"/>
  <c r="J5" i="1"/>
  <c r="J9" i="1" s="1"/>
  <c r="I5" i="3"/>
  <c r="I9" i="3" s="1"/>
  <c r="I9" i="1"/>
  <c r="I5" i="1"/>
  <c r="H5" i="3"/>
  <c r="H9" i="3" s="1"/>
  <c r="H5" i="1"/>
  <c r="H9" i="1" s="1"/>
  <c r="G5" i="3"/>
  <c r="G9" i="3"/>
  <c r="F5" i="3"/>
  <c r="F9" i="3" s="1"/>
  <c r="G5" i="1"/>
  <c r="O9" i="3"/>
  <c r="H4" i="3"/>
  <c r="I4" i="3" s="1"/>
  <c r="J4" i="3" s="1"/>
  <c r="K4" i="3" s="1"/>
  <c r="L4" i="3" s="1"/>
  <c r="M4" i="3" s="1"/>
  <c r="N4" i="3" s="1"/>
  <c r="G4" i="3"/>
  <c r="O9" i="1"/>
  <c r="K9" i="1"/>
  <c r="G9" i="1"/>
  <c r="G4" i="1"/>
  <c r="H4" i="1" s="1"/>
  <c r="I4" i="1" s="1"/>
  <c r="J4" i="1" s="1"/>
  <c r="K4" i="1" s="1"/>
  <c r="L4" i="1" s="1"/>
  <c r="M4" i="1" s="1"/>
  <c r="N4" i="1" s="1"/>
  <c r="F5" i="1"/>
  <c r="F9" i="1" s="1"/>
  <c r="E5" i="1"/>
  <c r="E9" i="1" s="1"/>
  <c r="D5" i="1"/>
  <c r="D9" i="1" s="1"/>
  <c r="C5" i="1"/>
  <c r="C9" i="1" s="1"/>
  <c r="C5" i="3"/>
  <c r="D5" i="3"/>
  <c r="E5" i="3"/>
  <c r="C9" i="3"/>
  <c r="D9" i="3"/>
  <c r="E9" i="3"/>
  <c r="BM16" i="4"/>
  <c r="AW16" i="4"/>
  <c r="AG16" i="4"/>
  <c r="Z16" i="4"/>
  <c r="CA12" i="4"/>
  <c r="CA16" i="4" s="1"/>
  <c r="BZ12" i="4"/>
  <c r="BZ16" i="4" s="1"/>
  <c r="BY12" i="4"/>
  <c r="BY16" i="4" s="1"/>
  <c r="BX12" i="4"/>
  <c r="BX16" i="4" s="1"/>
  <c r="BW12" i="4"/>
  <c r="BW16" i="4" s="1"/>
  <c r="BV12" i="4"/>
  <c r="BV16" i="4" s="1"/>
  <c r="BU12" i="4"/>
  <c r="BU16" i="4" s="1"/>
  <c r="BT12" i="4"/>
  <c r="BT16" i="4" s="1"/>
  <c r="BS12" i="4"/>
  <c r="BS16" i="4" s="1"/>
  <c r="BR12" i="4"/>
  <c r="BR16" i="4" s="1"/>
  <c r="BQ12" i="4"/>
  <c r="BQ16" i="4" s="1"/>
  <c r="BP12" i="4"/>
  <c r="BP16" i="4" s="1"/>
  <c r="BO12" i="4"/>
  <c r="BO16" i="4" s="1"/>
  <c r="BN12" i="4"/>
  <c r="BN16" i="4" s="1"/>
  <c r="BM12" i="4"/>
  <c r="BL12" i="4"/>
  <c r="BL16" i="4" s="1"/>
  <c r="BK12" i="4"/>
  <c r="BK16" i="4" s="1"/>
  <c r="BJ12" i="4"/>
  <c r="BJ16" i="4" s="1"/>
  <c r="BI12" i="4"/>
  <c r="BI16" i="4" s="1"/>
  <c r="BH12" i="4"/>
  <c r="BH16" i="4" s="1"/>
  <c r="BG12" i="4"/>
  <c r="BG16" i="4" s="1"/>
  <c r="BF12" i="4"/>
  <c r="BF16" i="4" s="1"/>
  <c r="BE12" i="4"/>
  <c r="BE16" i="4" s="1"/>
  <c r="BD12" i="4"/>
  <c r="BD16" i="4" s="1"/>
  <c r="BC12" i="4"/>
  <c r="BC16" i="4" s="1"/>
  <c r="BB12" i="4"/>
  <c r="BB16" i="4" s="1"/>
  <c r="BA12" i="4"/>
  <c r="BA16" i="4" s="1"/>
  <c r="AZ12" i="4"/>
  <c r="AZ16" i="4" s="1"/>
  <c r="AY12" i="4"/>
  <c r="AY16" i="4" s="1"/>
  <c r="AX12" i="4"/>
  <c r="AX16" i="4" s="1"/>
  <c r="AW12" i="4"/>
  <c r="AV12" i="4"/>
  <c r="AV16" i="4" s="1"/>
  <c r="AU12" i="4"/>
  <c r="AU16" i="4" s="1"/>
  <c r="AT12" i="4"/>
  <c r="AT16" i="4" s="1"/>
  <c r="AS12" i="4"/>
  <c r="AS16" i="4" s="1"/>
  <c r="AR12" i="4"/>
  <c r="AR16" i="4" s="1"/>
  <c r="AQ12" i="4"/>
  <c r="AQ16" i="4" s="1"/>
  <c r="AP12" i="4"/>
  <c r="AP16" i="4" s="1"/>
  <c r="AO12" i="4"/>
  <c r="AO16" i="4" s="1"/>
  <c r="AN12" i="4"/>
  <c r="AN16" i="4" s="1"/>
  <c r="AM12" i="4"/>
  <c r="AM16" i="4" s="1"/>
  <c r="AL12" i="4"/>
  <c r="AL16" i="4" s="1"/>
  <c r="AK12" i="4"/>
  <c r="AK16" i="4" s="1"/>
  <c r="AJ12" i="4"/>
  <c r="AJ16" i="4" s="1"/>
  <c r="AI12" i="4"/>
  <c r="AI16" i="4" s="1"/>
  <c r="AH12" i="4"/>
  <c r="AH16" i="4" s="1"/>
  <c r="AG12" i="4"/>
  <c r="AF12" i="4"/>
  <c r="AF16" i="4" s="1"/>
  <c r="AE12" i="4"/>
  <c r="AE16" i="4" s="1"/>
  <c r="AD12" i="4"/>
  <c r="AD16" i="4" s="1"/>
  <c r="AC12" i="4"/>
  <c r="AC16" i="4" s="1"/>
  <c r="AB12" i="4"/>
  <c r="AB16" i="4" s="1"/>
  <c r="AA12" i="4"/>
  <c r="AA16" i="4" s="1"/>
  <c r="Y12" i="4"/>
  <c r="Y16" i="4" s="1"/>
  <c r="X12" i="4"/>
  <c r="X16" i="4" s="1"/>
  <c r="W12" i="4"/>
  <c r="W16" i="4" s="1"/>
  <c r="V12" i="4"/>
  <c r="V16" i="4" s="1"/>
  <c r="U12" i="4"/>
  <c r="U16" i="4" s="1"/>
  <c r="T12" i="4"/>
  <c r="T16" i="4" s="1"/>
  <c r="S12" i="4"/>
  <c r="S16" i="4" s="1"/>
  <c r="R12" i="4"/>
  <c r="R16" i="4" s="1"/>
  <c r="Q12" i="4"/>
  <c r="Q16" i="4" s="1"/>
  <c r="P12" i="4"/>
  <c r="P16" i="4" s="1"/>
  <c r="O12" i="4"/>
  <c r="O16" i="4" s="1"/>
  <c r="P11" i="4"/>
  <c r="Q11" i="4" s="1"/>
  <c r="R11" i="4" s="1"/>
  <c r="S11" i="4" s="1"/>
  <c r="T11" i="4" s="1"/>
  <c r="U11" i="4" s="1"/>
  <c r="V11" i="4" s="1"/>
  <c r="W11" i="4" s="1"/>
  <c r="X11" i="4" s="1"/>
  <c r="Y11" i="4" s="1"/>
  <c r="Z11" i="4" s="1"/>
  <c r="AA11" i="4" s="1"/>
  <c r="AC11" i="4" s="1"/>
  <c r="AD11" i="4" s="1"/>
  <c r="AE11" i="4" s="1"/>
  <c r="AF11" i="4" s="1"/>
  <c r="AG11" i="4" s="1"/>
  <c r="AH11" i="4" s="1"/>
  <c r="AI11" i="4" s="1"/>
  <c r="AJ11" i="4" s="1"/>
  <c r="AK11" i="4" s="1"/>
  <c r="AL11" i="4" s="1"/>
  <c r="AM11" i="4" s="1"/>
  <c r="AN11" i="4" s="1"/>
  <c r="AP11" i="4" s="1"/>
  <c r="AQ11" i="4" s="1"/>
  <c r="AR11" i="4" s="1"/>
  <c r="AS11" i="4" s="1"/>
  <c r="AT11" i="4" s="1"/>
  <c r="AU11" i="4" s="1"/>
  <c r="AV11" i="4" s="1"/>
  <c r="AW11" i="4" s="1"/>
  <c r="AX11" i="4" s="1"/>
  <c r="AY11" i="4" s="1"/>
  <c r="AZ11" i="4" s="1"/>
  <c r="BA11" i="4" s="1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D3" i="4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U18" i="4" l="1"/>
  <c r="BF19" i="4"/>
  <c r="R18" i="4"/>
  <c r="V18" i="4"/>
  <c r="BG19" i="4"/>
  <c r="Y18" i="4"/>
  <c r="O18" i="4"/>
  <c r="S18" i="4"/>
  <c r="W18" i="4"/>
  <c r="Q18" i="4"/>
  <c r="P18" i="4"/>
  <c r="T18" i="4"/>
  <c r="X18" i="4"/>
  <c r="BD19" i="4"/>
  <c r="BH19" i="4"/>
  <c r="BE19" i="4"/>
  <c r="BI19" i="4"/>
</calcChain>
</file>

<file path=xl/sharedStrings.xml><?xml version="1.0" encoding="utf-8"?>
<sst xmlns="http://schemas.openxmlformats.org/spreadsheetml/2006/main" count="68" uniqueCount="42">
  <si>
    <t>Prix du Gazole livré</t>
  </si>
  <si>
    <t>Utilisation de la  Station-service</t>
  </si>
  <si>
    <t>Distribution du gazole (Main d'oeuvre)</t>
  </si>
  <si>
    <t>Montant total facturé par litre</t>
  </si>
  <si>
    <t>Montants unitaires / litre</t>
  </si>
  <si>
    <t>Horaire de Service 2016 jusqu'au 10/12/2016</t>
  </si>
  <si>
    <t>Horaire de Service 2017 à tarification 2016 en attente de validation des tarifs par l'ARAFER</t>
  </si>
  <si>
    <t>Ecarts de tarifs à régulariser</t>
  </si>
  <si>
    <t>Horaire de Service 2017 à partir du 11/12/2016 avec tarifs de l'OR 2017 validés par l'ARAFER</t>
  </si>
  <si>
    <t>Horaire de Service 2017 à partir du 10/12/2017 avec tarifs de l'OR 2018 validés par l'ARAFER</t>
  </si>
  <si>
    <r>
      <t xml:space="preserve">déc-2017
</t>
    </r>
    <r>
      <rPr>
        <b/>
        <sz val="8"/>
        <rFont val="Arial"/>
        <family val="2"/>
      </rPr>
      <t>HDS2018</t>
    </r>
  </si>
  <si>
    <r>
      <t xml:space="preserve">déc-2018
</t>
    </r>
    <r>
      <rPr>
        <b/>
        <sz val="8"/>
        <rFont val="Arial"/>
        <family val="2"/>
      </rPr>
      <t>HDS2019</t>
    </r>
  </si>
  <si>
    <r>
      <t xml:space="preserve">déc-19
</t>
    </r>
    <r>
      <rPr>
        <b/>
        <sz val="8"/>
        <rFont val="Arial"/>
        <family val="2"/>
      </rPr>
      <t>HDS2020</t>
    </r>
  </si>
  <si>
    <r>
      <t xml:space="preserve">jan-20
</t>
    </r>
    <r>
      <rPr>
        <sz val="10"/>
        <rFont val="Arial"/>
        <family val="2"/>
      </rPr>
      <t/>
    </r>
  </si>
  <si>
    <t>Horaire de Service 2020 à partir du 15/12/2019 avec tarifs de l'OR 2020 validés par l'ART</t>
  </si>
  <si>
    <r>
      <t xml:space="preserve">fev-20
</t>
    </r>
    <r>
      <rPr>
        <sz val="10"/>
        <rFont val="Arial"/>
        <family val="2"/>
      </rPr>
      <t/>
    </r>
  </si>
  <si>
    <r>
      <t xml:space="preserve">mars-20
</t>
    </r>
    <r>
      <rPr>
        <sz val="10"/>
        <rFont val="Arial"/>
        <family val="2"/>
      </rPr>
      <t/>
    </r>
  </si>
  <si>
    <r>
      <t xml:space="preserve">avril-20
</t>
    </r>
    <r>
      <rPr>
        <sz val="10"/>
        <rFont val="Arial"/>
        <family val="2"/>
      </rPr>
      <t/>
    </r>
  </si>
  <si>
    <r>
      <t xml:space="preserve">mai-20
</t>
    </r>
    <r>
      <rPr>
        <sz val="10"/>
        <rFont val="Arial"/>
        <family val="2"/>
      </rPr>
      <t/>
    </r>
  </si>
  <si>
    <r>
      <t xml:space="preserve">juin-20
</t>
    </r>
    <r>
      <rPr>
        <sz val="10"/>
        <rFont val="Arial"/>
        <family val="2"/>
      </rPr>
      <t/>
    </r>
  </si>
  <si>
    <t xml:space="preserve">juillet-20
</t>
  </si>
  <si>
    <t xml:space="preserve">août-20
</t>
  </si>
  <si>
    <t xml:space="preserve">septembre-20
</t>
  </si>
  <si>
    <t xml:space="preserve">octobre-20
</t>
  </si>
  <si>
    <t xml:space="preserve">novembre-20
</t>
  </si>
  <si>
    <t xml:space="preserve">décembre-20
</t>
  </si>
  <si>
    <t xml:space="preserve">décembre-20 HDS 21
</t>
  </si>
  <si>
    <t>déc-21 (HDS 22)</t>
  </si>
  <si>
    <t>Prix du B100 livré</t>
  </si>
  <si>
    <t>TARIFICATION DISTRIBUTION GAZOLE SNCF</t>
  </si>
  <si>
    <t>déc-22 (HDS 22)</t>
  </si>
  <si>
    <t>déc-22 (HDS 23)</t>
  </si>
  <si>
    <t>déc-23 (HDS 23)</t>
  </si>
  <si>
    <t>déc-23 (HDS 24)</t>
  </si>
  <si>
    <t>déc-24 (HDS 24)</t>
  </si>
  <si>
    <t>déc-24 (HDS 25)</t>
  </si>
  <si>
    <t>déc-24 (HDS24)</t>
  </si>
  <si>
    <t>déc-24 (HDS25)</t>
  </si>
  <si>
    <t>TARIF B100 GRANVILLE ORC 2025</t>
  </si>
  <si>
    <t>TARIFS DU GAZOLE - OFFRE DE REFERENCE SNCF COMBUSTIBLE 2025</t>
  </si>
  <si>
    <t>déc-25 (HDS 25)</t>
  </si>
  <si>
    <t>déc-25 (HDS 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</si>
</sst>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0\ &quot;€&quot;"/>
    <numFmt numFmtId="166" formatCode="0.0%"/>
    <numFmt numFmtId="167" formatCode="_-* #,##0.00\ _F_-;\-* #,##0.00\ _F_-;_-* &quot;-&quot;??\ _F_-;_-@_-"/>
    <numFmt numFmtId="168" formatCode="_-* #,##0.00\ &quot;F&quot;_-;\-* #,##0.00\ &quot;F&quot;_-;_-* &quot;-&quot;??\ &quot;F&quot;_-;_-@_-"/>
    <numFmt numFmtId="169" formatCode="_-* #,##0.00\ [$€]_-;\-* #,##0.00\ [$€]_-;_-* &quot;-&quot;??\ [$€]_-;_-@_-"/>
    <numFmt numFmtId="170" formatCode="_-* #,##0.000\ &quot;€&quot;_-;\-* #,##0.000\ &quot;€&quot;_-;_-* &quot;-&quot;\ &quot;€&quot;_-;_-@_-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u/>
      <sz val="11"/>
      <color rgb="FF1F497D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167" fontId="7" fillId="0" borderId="0" applyFont="0" applyFill="0" applyBorder="0" applyAlignment="0" applyProtection="0"/>
    <xf numFmtId="0" fontId="10" fillId="29" borderId="8" applyNumberFormat="0" applyFont="0" applyAlignment="0" applyProtection="0"/>
    <xf numFmtId="168" fontId="7" fillId="0" borderId="0" applyFont="0" applyFill="0" applyBorder="0" applyAlignment="0" applyProtection="0"/>
    <xf numFmtId="0" fontId="15" fillId="30" borderId="6" applyNumberFormat="0" applyAlignment="0" applyProtection="0"/>
    <xf numFmtId="4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6" fillId="31" borderId="0" applyNumberFormat="0" applyBorder="0" applyAlignment="0" applyProtection="0"/>
    <xf numFmtId="164" fontId="6" fillId="0" borderId="0" applyFont="0" applyFill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7" fillId="0" borderId="0" applyFill="0"/>
    <xf numFmtId="0" fontId="10" fillId="0" borderId="0"/>
    <xf numFmtId="0" fontId="7" fillId="0" borderId="0"/>
    <xf numFmtId="0" fontId="7" fillId="0" borderId="0" applyFill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33" borderId="0" applyNumberFormat="0" applyBorder="0" applyAlignment="0" applyProtection="0"/>
    <xf numFmtId="0" fontId="19" fillId="28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7" fillId="34" borderId="14" applyNumberFormat="0" applyAlignment="0" applyProtection="0"/>
    <xf numFmtId="43" fontId="3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7" fontId="4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8" fillId="3" borderId="2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7" fontId="4" fillId="3" borderId="2" xfId="0" applyNumberFormat="1" applyFont="1" applyFill="1" applyBorder="1" applyAlignment="1">
      <alignment horizontal="center" vertical="center" wrapText="1"/>
    </xf>
    <xf numFmtId="17" fontId="4" fillId="3" borderId="2" xfId="0" applyNumberFormat="1" applyFont="1" applyFill="1" applyBorder="1" applyAlignment="1">
      <alignment horizontal="center" vertical="top" wrapText="1"/>
    </xf>
    <xf numFmtId="166" fontId="28" fillId="0" borderId="0" xfId="50" applyNumberFormat="1" applyFont="1" applyFill="1"/>
    <xf numFmtId="0" fontId="29" fillId="0" borderId="0" xfId="0" applyFont="1"/>
    <xf numFmtId="165" fontId="28" fillId="0" borderId="0" xfId="0" applyNumberFormat="1" applyFont="1"/>
    <xf numFmtId="0" fontId="28" fillId="0" borderId="0" xfId="0" applyFont="1"/>
    <xf numFmtId="166" fontId="28" fillId="0" borderId="0" xfId="50" applyNumberFormat="1" applyFont="1"/>
    <xf numFmtId="170" fontId="2" fillId="2" borderId="1" xfId="63" applyNumberFormat="1" applyFont="1" applyFill="1" applyBorder="1" applyAlignment="1">
      <alignment horizontal="center" vertical="center" wrapText="1"/>
    </xf>
    <xf numFmtId="170" fontId="0" fillId="0" borderId="0" xfId="63" applyNumberFormat="1" applyFont="1"/>
    <xf numFmtId="165" fontId="33" fillId="2" borderId="1" xfId="0" applyNumberFormat="1" applyFont="1" applyFill="1" applyBorder="1" applyAlignment="1">
      <alignment horizontal="center" vertical="center" wrapText="1"/>
    </xf>
    <xf numFmtId="0" fontId="32" fillId="0" borderId="0" xfId="0" applyFont="1"/>
    <xf numFmtId="17" fontId="34" fillId="3" borderId="2" xfId="0" applyNumberFormat="1" applyFont="1" applyFill="1" applyBorder="1" applyAlignment="1">
      <alignment horizontal="center" vertical="center" wrapText="1"/>
    </xf>
    <xf numFmtId="170" fontId="33" fillId="2" borderId="1" xfId="63" applyNumberFormat="1" applyFont="1" applyFill="1" applyBorder="1" applyAlignment="1">
      <alignment horizontal="center" vertical="center" wrapText="1"/>
    </xf>
    <xf numFmtId="170" fontId="32" fillId="0" borderId="0" xfId="63" applyNumberFormat="1" applyFont="1"/>
    <xf numFmtId="0" fontId="3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6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a 2" xfId="28" xr:uid="{00000000-0005-0000-0000-00001B000000}"/>
    <cellStyle name="Commentaire 2" xfId="29" xr:uid="{00000000-0005-0000-0000-00001C000000}"/>
    <cellStyle name="Currency 2" xfId="30" xr:uid="{00000000-0005-0000-0000-00001D000000}"/>
    <cellStyle name="Entrée" xfId="31" builtinId="20" customBuiltin="1"/>
    <cellStyle name="Euro" xfId="32" xr:uid="{00000000-0005-0000-0000-00001F000000}"/>
    <cellStyle name="Euro 2" xfId="33" xr:uid="{00000000-0005-0000-0000-000020000000}"/>
    <cellStyle name="Insatisfaisant" xfId="34" builtinId="27" customBuiltin="1"/>
    <cellStyle name="Milliers" xfId="63" builtinId="3"/>
    <cellStyle name="Milliers 2" xfId="35" xr:uid="{00000000-0005-0000-0000-000022000000}"/>
    <cellStyle name="Neutre" xfId="36" builtinId="28" customBuiltin="1"/>
    <cellStyle name="Normal" xfId="0" builtinId="0"/>
    <cellStyle name="Normal 2" xfId="37" xr:uid="{00000000-0005-0000-0000-000025000000}"/>
    <cellStyle name="Normal 2 2" xfId="38" xr:uid="{00000000-0005-0000-0000-000026000000}"/>
    <cellStyle name="Normal 2 3" xfId="39" xr:uid="{00000000-0005-0000-0000-000027000000}"/>
    <cellStyle name="Normal 3" xfId="40" xr:uid="{00000000-0005-0000-0000-000028000000}"/>
    <cellStyle name="Normal 3 2" xfId="41" xr:uid="{00000000-0005-0000-0000-000029000000}"/>
    <cellStyle name="Normal 4" xfId="42" xr:uid="{00000000-0005-0000-0000-00002A000000}"/>
    <cellStyle name="Normal 4 2" xfId="43" xr:uid="{00000000-0005-0000-0000-00002B000000}"/>
    <cellStyle name="Normal 4 3" xfId="44" xr:uid="{00000000-0005-0000-0000-00002C000000}"/>
    <cellStyle name="Normal 5" xfId="45" xr:uid="{00000000-0005-0000-0000-00002D000000}"/>
    <cellStyle name="Normal 6" xfId="46" xr:uid="{00000000-0005-0000-0000-00002E000000}"/>
    <cellStyle name="Normal 6 2" xfId="47" xr:uid="{00000000-0005-0000-0000-00002F000000}"/>
    <cellStyle name="Normal 6 3" xfId="48" xr:uid="{00000000-0005-0000-0000-000030000000}"/>
    <cellStyle name="Percent 2" xfId="49" xr:uid="{00000000-0005-0000-0000-000031000000}"/>
    <cellStyle name="Pourcentage" xfId="50" builtinId="5"/>
    <cellStyle name="Pourcentage 2" xfId="51" xr:uid="{00000000-0005-0000-0000-000033000000}"/>
    <cellStyle name="Satisfaisant" xfId="52" builtinId="26" customBuiltin="1"/>
    <cellStyle name="Sortie" xfId="53" builtinId="21" customBuiltin="1"/>
    <cellStyle name="Texte explicatif" xfId="54" builtinId="53" customBuiltin="1"/>
    <cellStyle name="Titre" xfId="55" builtinId="15" customBuiltin="1"/>
    <cellStyle name="Titre 2" xfId="56" xr:uid="{00000000-0005-0000-0000-000038000000}"/>
    <cellStyle name="Titre 1" xfId="57" builtinId="16" customBuiltin="1"/>
    <cellStyle name="Titre 2" xfId="58" builtinId="17" customBuiltin="1"/>
    <cellStyle name="Titre 3" xfId="59" builtinId="18" customBuiltin="1"/>
    <cellStyle name="Titre 4" xfId="60" builtinId="19" customBuiltin="1"/>
    <cellStyle name="Total" xfId="61" builtinId="25" customBuiltin="1"/>
    <cellStyle name="Vérification" xfId="6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FR"/>
              <a:t>Montant facturé GNR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'Tarif gazole B7 ORC en cours'!$C$4:$BH$4</c:f>
              <c:strCache>
                <c:ptCount val="58"/>
                <c:pt idx="0">
                  <c:v>déc-21 (HDS 22)</c:v>
                </c:pt>
                <c:pt idx="1">
                  <c:v>janv-22</c:v>
                </c:pt>
                <c:pt idx="2">
                  <c:v>févr-22</c:v>
                </c:pt>
                <c:pt idx="3">
                  <c:v>mars-22</c:v>
                </c:pt>
                <c:pt idx="4">
                  <c:v>avr-22</c:v>
                </c:pt>
                <c:pt idx="5">
                  <c:v>mai-22</c:v>
                </c:pt>
                <c:pt idx="6">
                  <c:v>juin-22</c:v>
                </c:pt>
                <c:pt idx="7">
                  <c:v>juil-22</c:v>
                </c:pt>
                <c:pt idx="8">
                  <c:v>août-22</c:v>
                </c:pt>
                <c:pt idx="9">
                  <c:v>sept-22</c:v>
                </c:pt>
                <c:pt idx="10">
                  <c:v>oct-22</c:v>
                </c:pt>
                <c:pt idx="11">
                  <c:v>nov-22</c:v>
                </c:pt>
                <c:pt idx="12">
                  <c:v>déc-22 (HDS 22)</c:v>
                </c:pt>
                <c:pt idx="13">
                  <c:v>déc-22 (HDS 23)</c:v>
                </c:pt>
                <c:pt idx="14">
                  <c:v>janv-23</c:v>
                </c:pt>
                <c:pt idx="15">
                  <c:v>févr-23</c:v>
                </c:pt>
                <c:pt idx="16">
                  <c:v>mars-23</c:v>
                </c:pt>
                <c:pt idx="17">
                  <c:v>avr-23</c:v>
                </c:pt>
                <c:pt idx="18">
                  <c:v>mai-23</c:v>
                </c:pt>
                <c:pt idx="19">
                  <c:v>juin-23</c:v>
                </c:pt>
                <c:pt idx="20">
                  <c:v>juil-23</c:v>
                </c:pt>
                <c:pt idx="21">
                  <c:v>août-23</c:v>
                </c:pt>
                <c:pt idx="22">
                  <c:v>sept-23</c:v>
                </c:pt>
                <c:pt idx="23">
                  <c:v>oct-23</c:v>
                </c:pt>
                <c:pt idx="24">
                  <c:v>nov-23</c:v>
                </c:pt>
                <c:pt idx="25">
                  <c:v>déc-23 (HDS 23)</c:v>
                </c:pt>
                <c:pt idx="26">
                  <c:v>déc-23 (HDS 24)</c:v>
                </c:pt>
                <c:pt idx="27">
                  <c:v>janv-24</c:v>
                </c:pt>
                <c:pt idx="28">
                  <c:v>févr-24</c:v>
                </c:pt>
                <c:pt idx="29">
                  <c:v>mars-24</c:v>
                </c:pt>
                <c:pt idx="30">
                  <c:v>avr-24</c:v>
                </c:pt>
                <c:pt idx="31">
                  <c:v>mai-24</c:v>
                </c:pt>
                <c:pt idx="32">
                  <c:v>juin-24</c:v>
                </c:pt>
                <c:pt idx="33">
                  <c:v>juil-24</c:v>
                </c:pt>
                <c:pt idx="34">
                  <c:v>août-24</c:v>
                </c:pt>
                <c:pt idx="35">
                  <c:v>sept-24</c:v>
                </c:pt>
                <c:pt idx="36">
                  <c:v>oct-24</c:v>
                </c:pt>
                <c:pt idx="37">
                  <c:v>nov-24</c:v>
                </c:pt>
                <c:pt idx="38">
                  <c:v>déc-24 (HDS 24)</c:v>
                </c:pt>
                <c:pt idx="39">
                  <c:v>déc-24 (HDS 25)</c:v>
                </c:pt>
                <c:pt idx="40">
                  <c:v>janv-25</c:v>
                </c:pt>
                <c:pt idx="41">
                  <c:v>févr-25</c:v>
                </c:pt>
                <c:pt idx="42">
                  <c:v>mars-25</c:v>
                </c:pt>
                <c:pt idx="43">
                  <c:v>avr-25</c:v>
                </c:pt>
                <c:pt idx="44">
                  <c:v>mai-25</c:v>
                </c:pt>
                <c:pt idx="45">
                  <c:v>juin-25</c:v>
                </c:pt>
                <c:pt idx="46">
                  <c:v>juil-25</c:v>
                </c:pt>
                <c:pt idx="47">
                  <c:v>août-25</c:v>
                </c:pt>
                <c:pt idx="48">
                  <c:v>sept-25</c:v>
                </c:pt>
                <c:pt idx="49">
                  <c:v>oct-25</c:v>
                </c:pt>
                <c:pt idx="50">
                  <c:v>nov-25</c:v>
                </c:pt>
                <c:pt idx="51">
                  <c:v>déc-25 (HDS 25)</c:v>
                </c:pt>
                <c:pt idx="52">
                  <c:v>déc-25 (HDS 26)</c:v>
                </c:pt>
                <c:pt idx="53">
                  <c:v>janv-26</c:v>
                </c:pt>
                <c:pt idx="54">
                  <c:v>févr-26</c:v>
                </c:pt>
                <c:pt idx="55">
                  <c:v>mars-26</c:v>
                </c:pt>
                <c:pt idx="56">
                  <c:v>avr-26</c:v>
                </c:pt>
                <c:pt idx="57">
                  <c:v>mai-26</c:v>
                </c:pt>
              </c:strCache>
            </c:strRef>
          </c:cat>
          <c:val>
            <c:numRef>
              <c:f>'Tarif gazole B7 ORC en cours'!$C$9:$BH$9</c:f>
              <c:numCache>
                <c:formatCode>#\ ##0.000\ "€"</c:formatCode>
                <c:ptCount val="58"/>
                <c:pt idx="0">
                  <c:v>0.91372000000000009</c:v>
                </c:pt>
                <c:pt idx="1">
                  <c:v>1.0131399999999999</c:v>
                </c:pt>
                <c:pt idx="2">
                  <c:v>1.07287</c:v>
                </c:pt>
                <c:pt idx="3">
                  <c:v>1.32074</c:v>
                </c:pt>
                <c:pt idx="4">
                  <c:v>1.1719999999999999</c:v>
                </c:pt>
                <c:pt idx="5">
                  <c:v>1.20336</c:v>
                </c:pt>
                <c:pt idx="6">
                  <c:v>1.3942400000000001</c:v>
                </c:pt>
                <c:pt idx="7">
                  <c:v>1.2708900000000001</c:v>
                </c:pt>
                <c:pt idx="8">
                  <c:v>1.2076500000000001</c:v>
                </c:pt>
                <c:pt idx="9">
                  <c:v>1.0905100000000001</c:v>
                </c:pt>
                <c:pt idx="10">
                  <c:v>1.2300800000000001</c:v>
                </c:pt>
                <c:pt idx="11">
                  <c:v>1.1476000000000002</c:v>
                </c:pt>
                <c:pt idx="12">
                  <c:v>1.09996</c:v>
                </c:pt>
                <c:pt idx="13">
                  <c:v>1.1039600000000001</c:v>
                </c:pt>
                <c:pt idx="14">
                  <c:v>1.1928000000000001</c:v>
                </c:pt>
                <c:pt idx="15">
                  <c:v>1.1104499999999999</c:v>
                </c:pt>
                <c:pt idx="16">
                  <c:v>1.0918399999999999</c:v>
                </c:pt>
                <c:pt idx="17">
                  <c:v>1.0433399999999999</c:v>
                </c:pt>
                <c:pt idx="18">
                  <c:v>0.98607</c:v>
                </c:pt>
                <c:pt idx="19">
                  <c:v>1.03373</c:v>
                </c:pt>
                <c:pt idx="20">
                  <c:v>1.0750899999999999</c:v>
                </c:pt>
                <c:pt idx="21">
                  <c:v>1.1794200000000001</c:v>
                </c:pt>
                <c:pt idx="22">
                  <c:v>1.24837</c:v>
                </c:pt>
                <c:pt idx="23">
                  <c:v>1.206</c:v>
                </c:pt>
                <c:pt idx="24">
                  <c:v>1.13548</c:v>
                </c:pt>
                <c:pt idx="25">
                  <c:v>1.0808</c:v>
                </c:pt>
                <c:pt idx="26">
                  <c:v>1.0888</c:v>
                </c:pt>
                <c:pt idx="27">
                  <c:v>1.11869</c:v>
                </c:pt>
                <c:pt idx="28">
                  <c:v>1.13801</c:v>
                </c:pt>
                <c:pt idx="29">
                  <c:v>1.11276</c:v>
                </c:pt>
                <c:pt idx="30">
                  <c:v>1.10307</c:v>
                </c:pt>
                <c:pt idx="31">
                  <c:v>1.0542</c:v>
                </c:pt>
                <c:pt idx="32">
                  <c:v>1.0755999999999999</c:v>
                </c:pt>
                <c:pt idx="33">
                  <c:v>1.0774999999999999</c:v>
                </c:pt>
                <c:pt idx="34">
                  <c:v>1.008</c:v>
                </c:pt>
                <c:pt idx="35">
                  <c:v>0.9647</c:v>
                </c:pt>
                <c:pt idx="36">
                  <c:v>0.98454000000000008</c:v>
                </c:pt>
                <c:pt idx="37">
                  <c:v>1.00518</c:v>
                </c:pt>
                <c:pt idx="38">
                  <c:v>1.01162</c:v>
                </c:pt>
                <c:pt idx="39">
                  <c:v>1.01362</c:v>
                </c:pt>
                <c:pt idx="40">
                  <c:v>1.0580400000000001</c:v>
                </c:pt>
                <c:pt idx="41">
                  <c:v>1.02607</c:v>
                </c:pt>
                <c:pt idx="42">
                  <c:v>0.96995000000000009</c:v>
                </c:pt>
                <c:pt idx="43">
                  <c:v>0.91859000000000002</c:v>
                </c:pt>
                <c:pt idx="44">
                  <c:v>0.90628000000000009</c:v>
                </c:pt>
                <c:pt idx="45">
                  <c:v>0.94828000000000001</c:v>
                </c:pt>
                <c:pt idx="46">
                  <c:v>0.9765100000000001</c:v>
                </c:pt>
                <c:pt idx="47">
                  <c:v>0.93551000000000006</c:v>
                </c:pt>
                <c:pt idx="48">
                  <c:v>0.94962000000000002</c:v>
                </c:pt>
                <c:pt idx="49">
                  <c:v>0.94218000000000002</c:v>
                </c:pt>
                <c:pt idx="50">
                  <c:v>0.99025000000000007</c:v>
                </c:pt>
                <c:pt idx="51">
                  <c:v>0.91100000000000003</c:v>
                </c:pt>
                <c:pt idx="52">
                  <c:v>0.91800000000000004</c:v>
                </c:pt>
                <c:pt idx="53">
                  <c:v>0.93300000000000005</c:v>
                </c:pt>
                <c:pt idx="54">
                  <c:v>0.97100000000000009</c:v>
                </c:pt>
                <c:pt idx="55">
                  <c:v>1.3728899999999999</c:v>
                </c:pt>
                <c:pt idx="56">
                  <c:v>1.4123999999999999</c:v>
                </c:pt>
                <c:pt idx="57">
                  <c:v>1.31741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8-4399-B12C-EFA20F0F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\ ##0.0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091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Montant facturé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'Tarif B100 ORC en cours'!$C$4:$F$4</c:f>
              <c:strCache>
                <c:ptCount val="1"/>
                <c:pt idx="0">
                  <c:v>déc-21 (HDS 22)</c:v>
                </c:pt>
              </c:strCache>
            </c:strRef>
          </c:cat>
          <c:val>
            <c:numRef>
              <c:f>'Tarif B100 ORC en cours'!$C$9:$F$9</c:f>
              <c:numCache>
                <c:formatCode>#\ ##0.000\ "€"</c:formatCode>
                <c:ptCount val="1"/>
                <c:pt idx="0">
                  <c:v>0.97433000000000003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8-4B75-92DB-8D64EAAE5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/>
        <c:numFmt formatCode="#\ ##0.00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7091331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FR"/>
              <a:t>Montant facturé B100 en € par litre</a:t>
            </a:r>
          </a:p>
        </c:rich>
      </c:tx>
      <c:layout>
        <c:manualLayout>
          <c:xMode val="edge"/>
          <c:yMode val="edge"/>
          <c:x val="0.35311631886421668"/>
          <c:y val="4.712754279209074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054761341432214"/>
          <c:y val="4.0317310994086267E-2"/>
          <c:w val="0.87541475189399065"/>
          <c:h val="0.75618291360825651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'Tarif B100 ORC en cours'!$C$4:$BH$4</c:f>
              <c:strCache>
                <c:ptCount val="42"/>
                <c:pt idx="0">
                  <c:v>déc-21 (HDS 22)</c:v>
                </c:pt>
                <c:pt idx="1">
                  <c:v>avr-23</c:v>
                </c:pt>
                <c:pt idx="2">
                  <c:v>mai-23</c:v>
                </c:pt>
                <c:pt idx="3">
                  <c:v>juin-23</c:v>
                </c:pt>
                <c:pt idx="4">
                  <c:v>juil-23</c:v>
                </c:pt>
                <c:pt idx="5">
                  <c:v>août-23</c:v>
                </c:pt>
                <c:pt idx="6">
                  <c:v>sept-23</c:v>
                </c:pt>
                <c:pt idx="7">
                  <c:v>oct-23</c:v>
                </c:pt>
                <c:pt idx="8">
                  <c:v>nov-23</c:v>
                </c:pt>
                <c:pt idx="9">
                  <c:v>déc-23 (HDS 23)</c:v>
                </c:pt>
                <c:pt idx="10">
                  <c:v>déc-23 (HDS 24)</c:v>
                </c:pt>
                <c:pt idx="11">
                  <c:v>janv-24</c:v>
                </c:pt>
                <c:pt idx="12">
                  <c:v>févr-24</c:v>
                </c:pt>
                <c:pt idx="13">
                  <c:v>mars-24</c:v>
                </c:pt>
                <c:pt idx="14">
                  <c:v>avr-24</c:v>
                </c:pt>
                <c:pt idx="15">
                  <c:v>mai-24</c:v>
                </c:pt>
                <c:pt idx="16">
                  <c:v>juin-24</c:v>
                </c:pt>
                <c:pt idx="17">
                  <c:v>juil-24</c:v>
                </c:pt>
                <c:pt idx="18">
                  <c:v>août-24</c:v>
                </c:pt>
                <c:pt idx="19">
                  <c:v>sept-24</c:v>
                </c:pt>
                <c:pt idx="20">
                  <c:v>oct-24</c:v>
                </c:pt>
                <c:pt idx="21">
                  <c:v>nov-24</c:v>
                </c:pt>
                <c:pt idx="22">
                  <c:v>déc-24 (HDS24)</c:v>
                </c:pt>
                <c:pt idx="23">
                  <c:v>déc-24 (HDS25)</c:v>
                </c:pt>
                <c:pt idx="24">
                  <c:v>janv-25</c:v>
                </c:pt>
                <c:pt idx="25">
                  <c:v>févr-25</c:v>
                </c:pt>
                <c:pt idx="26">
                  <c:v>mars-25</c:v>
                </c:pt>
                <c:pt idx="27">
                  <c:v>avr-25</c:v>
                </c:pt>
                <c:pt idx="28">
                  <c:v>mai-25</c:v>
                </c:pt>
                <c:pt idx="29">
                  <c:v>juin-25</c:v>
                </c:pt>
                <c:pt idx="30">
                  <c:v>juil-25</c:v>
                </c:pt>
                <c:pt idx="31">
                  <c:v>août-25</c:v>
                </c:pt>
                <c:pt idx="32">
                  <c:v>sept-25</c:v>
                </c:pt>
                <c:pt idx="33">
                  <c:v>oct-25</c:v>
                </c:pt>
                <c:pt idx="34">
                  <c:v>nov-25</c:v>
                </c:pt>
                <c:pt idx="35">
                  <c:v>déc-25 (HDS 25)</c:v>
                </c:pt>
                <c:pt idx="36">
                  <c:v>déc-25 (HDS 26)</c:v>
                </c:pt>
                <c:pt idx="37">
                  <c:v>janv-26</c:v>
                </c:pt>
                <c:pt idx="38">
                  <c:v>févr-26</c:v>
                </c:pt>
                <c:pt idx="39">
                  <c:v>mars-26</c:v>
                </c:pt>
                <c:pt idx="40">
                  <c:v>avr-26</c:v>
                </c:pt>
                <c:pt idx="41">
                  <c:v>mai-26</c:v>
                </c:pt>
              </c:strCache>
            </c:strRef>
          </c:cat>
          <c:val>
            <c:numRef>
              <c:f>'Tarif B100 ORC en cours'!$C$9:$BH$9</c:f>
              <c:numCache>
                <c:formatCode>#\ ##0.000\ "€"</c:formatCode>
                <c:ptCount val="42"/>
                <c:pt idx="0">
                  <c:v>0.97433000000000003</c:v>
                </c:pt>
                <c:pt idx="1">
                  <c:v>1.13951</c:v>
                </c:pt>
                <c:pt idx="2">
                  <c:v>1.0834900000000001</c:v>
                </c:pt>
                <c:pt idx="3">
                  <c:v>1.07525</c:v>
                </c:pt>
                <c:pt idx="4">
                  <c:v>1.11293</c:v>
                </c:pt>
                <c:pt idx="5">
                  <c:v>1.2209999999999999</c:v>
                </c:pt>
                <c:pt idx="6">
                  <c:v>1.2919999999999998</c:v>
                </c:pt>
                <c:pt idx="7">
                  <c:v>1.2429999999999999</c:v>
                </c:pt>
                <c:pt idx="8">
                  <c:v>1.1755</c:v>
                </c:pt>
                <c:pt idx="9">
                  <c:v>1.1204099999999999</c:v>
                </c:pt>
                <c:pt idx="10">
                  <c:v>1.1264099999999999</c:v>
                </c:pt>
                <c:pt idx="11">
                  <c:v>1.1421299999999999</c:v>
                </c:pt>
                <c:pt idx="12">
                  <c:v>1.1956499999999999</c:v>
                </c:pt>
                <c:pt idx="13">
                  <c:v>1.17248</c:v>
                </c:pt>
                <c:pt idx="14">
                  <c:v>1.1645699999999999</c:v>
                </c:pt>
                <c:pt idx="15">
                  <c:v>1.1115299999999999</c:v>
                </c:pt>
                <c:pt idx="16" formatCode="_-* #\ ##0.000\ &quot;€&quot;_-;\-* #\ ##0.000\ &quot;€&quot;_-;_-* &quot;-&quot;\ &quot;€&quot;_-;_-@_-">
                  <c:v>1.119</c:v>
                </c:pt>
                <c:pt idx="17" formatCode="_-* #\ ##0.000\ &quot;€&quot;_-;\-* #\ ##0.000\ &quot;€&quot;_-;_-* &quot;-&quot;\ &quot;€&quot;_-;_-@_-">
                  <c:v>1.1199999999999999</c:v>
                </c:pt>
                <c:pt idx="18" formatCode="_-* #\ ##0.000\ &quot;€&quot;_-;\-* #\ ##0.000\ &quot;€&quot;_-;_-* &quot;-&quot;\ &quot;€&quot;_-;_-@_-">
                  <c:v>1.0665800000000001</c:v>
                </c:pt>
                <c:pt idx="19" formatCode="_-* #\ ##0.000\ &quot;€&quot;_-;\-* #\ ##0.000\ &quot;€&quot;_-;_-* &quot;-&quot;\ &quot;€&quot;_-;_-@_-">
                  <c:v>1.01993</c:v>
                </c:pt>
                <c:pt idx="20" formatCode="_-* #\ ##0.000\ &quot;€&quot;_-;\-* #\ ##0.000\ &quot;€&quot;_-;_-* &quot;-&quot;\ &quot;€&quot;_-;_-@_-">
                  <c:v>1.0423800000000001</c:v>
                </c:pt>
                <c:pt idx="21" formatCode="_-* #\ ##0.000\ &quot;€&quot;_-;\-* #\ ##0.000\ &quot;€&quot;_-;_-* &quot;-&quot;\ &quot;€&quot;_-;_-@_-">
                  <c:v>1.0606100000000001</c:v>
                </c:pt>
                <c:pt idx="22" formatCode="_-* #\ ##0.000\ &quot;€&quot;_-;\-* #\ ##0.000\ &quot;€&quot;_-;_-* &quot;-&quot;\ &quot;€&quot;_-;_-@_-">
                  <c:v>1.06643</c:v>
                </c:pt>
                <c:pt idx="23" formatCode="_-* #\ ##0.000\ &quot;€&quot;_-;\-* #\ ##0.000\ &quot;€&quot;_-;_-* &quot;-&quot;\ &quot;€&quot;_-;_-@_-">
                  <c:v>1.06843</c:v>
                </c:pt>
                <c:pt idx="24" formatCode="_-* #\ ##0.000\ &quot;€&quot;_-;\-* #\ ##0.000\ &quot;€&quot;_-;_-* &quot;-&quot;\ &quot;€&quot;_-;_-@_-">
                  <c:v>1.18282</c:v>
                </c:pt>
                <c:pt idx="25" formatCode="_-* #\ ##0.000\ &quot;€&quot;_-;\-* #\ ##0.000\ &quot;€&quot;_-;_-* &quot;-&quot;\ &quot;€&quot;_-;_-@_-">
                  <c:v>1.17411</c:v>
                </c:pt>
                <c:pt idx="26" formatCode="_-* #\ ##0.000\ &quot;€&quot;_-;\-* #\ ##0.000\ &quot;€&quot;_-;_-* &quot;-&quot;\ &quot;€&quot;_-;_-@_-">
                  <c:v>1.1169199999999999</c:v>
                </c:pt>
                <c:pt idx="27" formatCode="_-* #\ ##0.000\ &quot;€&quot;_-;\-* #\ ##0.000\ &quot;€&quot;_-;_-* &quot;-&quot;\ &quot;€&quot;_-;_-@_-">
                  <c:v>1.0608299999999999</c:v>
                </c:pt>
                <c:pt idx="28" formatCode="_-* #\ ##0.000\ &quot;€&quot;_-;\-* #\ ##0.000\ &quot;€&quot;_-;_-* &quot;-&quot;\ &quot;€&quot;_-;_-@_-">
                  <c:v>1.0499099999999999</c:v>
                </c:pt>
                <c:pt idx="29" formatCode="_-* #\ ##0.000\ &quot;€&quot;_-;\-* #\ ##0.000\ &quot;€&quot;_-;_-* &quot;-&quot;\ &quot;€&quot;_-;_-@_-">
                  <c:v>1.09352</c:v>
                </c:pt>
                <c:pt idx="30" formatCode="_-* #\ ##0.000\ &quot;€&quot;_-;\-* #\ ##0.000\ &quot;€&quot;_-;_-* &quot;-&quot;\ &quot;€&quot;_-;_-@_-">
                  <c:v>1.1235200000000001</c:v>
                </c:pt>
                <c:pt idx="31" formatCode="_-* #\ ##0.000\ &quot;€&quot;_-;\-* #\ ##0.000\ &quot;€&quot;_-;_-* &quot;-&quot;\ &quot;€&quot;_-;_-@_-">
                  <c:v>1.0797300000000001</c:v>
                </c:pt>
                <c:pt idx="32" formatCode="_-* #\ ##0.000\ &quot;€&quot;_-;\-* #\ ##0.000\ &quot;€&quot;_-;_-* &quot;-&quot;\ &quot;€&quot;_-;_-@_-">
                  <c:v>1.1005</c:v>
                </c:pt>
                <c:pt idx="33" formatCode="_-* #\ ##0.000\ &quot;€&quot;_-;\-* #\ ##0.000\ &quot;€&quot;_-;_-* &quot;-&quot;\ &quot;€&quot;_-;_-@_-">
                  <c:v>1.0858099999999999</c:v>
                </c:pt>
                <c:pt idx="34" formatCode="_-* #\ ##0.000\ &quot;€&quot;_-;\-* #\ ##0.000\ &quot;€&quot;_-;_-* &quot;-&quot;\ &quot;€&quot;_-;_-@_-">
                  <c:v>1.1353</c:v>
                </c:pt>
                <c:pt idx="35">
                  <c:v>1.0558700000000001</c:v>
                </c:pt>
                <c:pt idx="36">
                  <c:v>1.0638700000000001</c:v>
                </c:pt>
                <c:pt idx="37">
                  <c:v>1.0729700000000002</c:v>
                </c:pt>
                <c:pt idx="38">
                  <c:v>1.056</c:v>
                </c:pt>
                <c:pt idx="39">
                  <c:v>1.46668</c:v>
                </c:pt>
                <c:pt idx="40">
                  <c:v>1.49115</c:v>
                </c:pt>
                <c:pt idx="41">
                  <c:v>1.4074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D-45F1-8C04-9D3C1A5FF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3312"/>
        <c:axId val="1"/>
      </c:lineChart>
      <c:catAx>
        <c:axId val="870913312"/>
        <c:scaling>
          <c:orientation val="minMax"/>
        </c:scaling>
        <c:delete val="0"/>
        <c:axPos val="b"/>
        <c:numFmt formatCode="mmm\-\y\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.9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\ ##0.0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0913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Montant facturé en € par litre</a:t>
            </a:r>
          </a:p>
        </c:rich>
      </c:tx>
      <c:layout>
        <c:manualLayout>
          <c:xMode val="edge"/>
          <c:yMode val="edge"/>
          <c:x val="0.35311610872118476"/>
          <c:y val="4.7127341840890583E-2"/>
        </c:manualLayout>
      </c:layout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'Tarif gazole B7 ORC en cours'!$E$5:$BN$5</c:f>
              <c:numCache>
                <c:formatCode>#\ ##0.000\ "€"</c:formatCode>
                <c:ptCount val="62"/>
                <c:pt idx="0">
                  <c:v>0.93086999999999998</c:v>
                </c:pt>
                <c:pt idx="1">
                  <c:v>1.1787399999999999</c:v>
                </c:pt>
                <c:pt idx="2">
                  <c:v>1.0299999999999998</c:v>
                </c:pt>
                <c:pt idx="3">
                  <c:v>1.0613599999999999</c:v>
                </c:pt>
                <c:pt idx="4">
                  <c:v>1.25224</c:v>
                </c:pt>
                <c:pt idx="5">
                  <c:v>1.1288899999999999</c:v>
                </c:pt>
                <c:pt idx="6">
                  <c:v>1.06565</c:v>
                </c:pt>
                <c:pt idx="7">
                  <c:v>0.94851000000000008</c:v>
                </c:pt>
                <c:pt idx="8">
                  <c:v>1.0880799999999999</c:v>
                </c:pt>
                <c:pt idx="9">
                  <c:v>1.0056</c:v>
                </c:pt>
                <c:pt idx="10">
                  <c:v>0.95796000000000003</c:v>
                </c:pt>
                <c:pt idx="11">
                  <c:v>0.95696000000000003</c:v>
                </c:pt>
                <c:pt idx="12">
                  <c:v>1.0458000000000001</c:v>
                </c:pt>
                <c:pt idx="13">
                  <c:v>0.96145000000000003</c:v>
                </c:pt>
                <c:pt idx="14">
                  <c:v>0.94284000000000001</c:v>
                </c:pt>
                <c:pt idx="15">
                  <c:v>0.89434000000000002</c:v>
                </c:pt>
                <c:pt idx="16">
                  <c:v>0.83706999999999998</c:v>
                </c:pt>
                <c:pt idx="17">
                  <c:v>0.88473000000000002</c:v>
                </c:pt>
                <c:pt idx="18">
                  <c:v>0.92608999999999997</c:v>
                </c:pt>
                <c:pt idx="19">
                  <c:v>1.0304200000000001</c:v>
                </c:pt>
                <c:pt idx="20">
                  <c:v>1.09937</c:v>
                </c:pt>
                <c:pt idx="21">
                  <c:v>1.0569999999999999</c:v>
                </c:pt>
                <c:pt idx="22">
                  <c:v>0.98648000000000002</c:v>
                </c:pt>
                <c:pt idx="23">
                  <c:v>0.93180000000000007</c:v>
                </c:pt>
                <c:pt idx="24">
                  <c:v>0.93380000000000007</c:v>
                </c:pt>
                <c:pt idx="25">
                  <c:v>0.96369000000000005</c:v>
                </c:pt>
                <c:pt idx="26">
                  <c:v>0.98301000000000005</c:v>
                </c:pt>
                <c:pt idx="27">
                  <c:v>0.95776000000000006</c:v>
                </c:pt>
                <c:pt idx="28">
                  <c:v>0.94806999999999997</c:v>
                </c:pt>
                <c:pt idx="29">
                  <c:v>0.8992</c:v>
                </c:pt>
                <c:pt idx="30">
                  <c:v>0.92059999999999997</c:v>
                </c:pt>
                <c:pt idx="31">
                  <c:v>0.92249999999999999</c:v>
                </c:pt>
                <c:pt idx="32">
                  <c:v>0.85299999999999998</c:v>
                </c:pt>
                <c:pt idx="33">
                  <c:v>0.80969999999999998</c:v>
                </c:pt>
                <c:pt idx="34">
                  <c:v>0.82954000000000006</c:v>
                </c:pt>
                <c:pt idx="35">
                  <c:v>0.85018000000000005</c:v>
                </c:pt>
                <c:pt idx="36">
                  <c:v>0.85662000000000005</c:v>
                </c:pt>
                <c:pt idx="37">
                  <c:v>0.85662000000000005</c:v>
                </c:pt>
                <c:pt idx="38">
                  <c:v>0.90104000000000006</c:v>
                </c:pt>
                <c:pt idx="39">
                  <c:v>0.86907000000000001</c:v>
                </c:pt>
                <c:pt idx="40">
                  <c:v>0.81295000000000006</c:v>
                </c:pt>
                <c:pt idx="41">
                  <c:v>0.76158999999999999</c:v>
                </c:pt>
                <c:pt idx="42">
                  <c:v>0.74928000000000006</c:v>
                </c:pt>
                <c:pt idx="43">
                  <c:v>0.79127999999999998</c:v>
                </c:pt>
                <c:pt idx="44">
                  <c:v>0.81951000000000007</c:v>
                </c:pt>
                <c:pt idx="45">
                  <c:v>0.77851000000000004</c:v>
                </c:pt>
                <c:pt idx="46">
                  <c:v>0.79261999999999999</c:v>
                </c:pt>
                <c:pt idx="47">
                  <c:v>0.78517999999999999</c:v>
                </c:pt>
                <c:pt idx="48">
                  <c:v>0.83325000000000005</c:v>
                </c:pt>
                <c:pt idx="49">
                  <c:v>0.754</c:v>
                </c:pt>
                <c:pt idx="50">
                  <c:v>0.753</c:v>
                </c:pt>
                <c:pt idx="51">
                  <c:v>0.76800000000000002</c:v>
                </c:pt>
                <c:pt idx="52">
                  <c:v>0.80600000000000005</c:v>
                </c:pt>
                <c:pt idx="53">
                  <c:v>1.2078899999999999</c:v>
                </c:pt>
                <c:pt idx="54">
                  <c:v>1.2473999999999998</c:v>
                </c:pt>
                <c:pt idx="55">
                  <c:v>1.1524099999999999</c:v>
                </c:pt>
                <c:pt idx="56">
                  <c:v>1.02115</c:v>
                </c:pt>
              </c:numCache>
            </c:numRef>
          </c:cat>
          <c:val>
            <c:numRef>
              <c:f>'Tarif gazole B7 ORC en cours'!$Q$10:$BS$10</c:f>
              <c:numCache>
                <c:formatCode>#\ ##0.000\ "€"</c:formatCode>
                <c:ptCount val="55"/>
                <c:pt idx="0">
                  <c:v>1.0218</c:v>
                </c:pt>
                <c:pt idx="1">
                  <c:v>0.93745000000000001</c:v>
                </c:pt>
                <c:pt idx="2">
                  <c:v>0.91883999999999999</c:v>
                </c:pt>
                <c:pt idx="3">
                  <c:v>0.87034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C-4E84-8B45-41E214F27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915808"/>
        <c:axId val="1"/>
      </c:lineChart>
      <c:catAx>
        <c:axId val="870915808"/>
        <c:scaling>
          <c:orientation val="minMax"/>
        </c:scaling>
        <c:delete val="0"/>
        <c:axPos val="b"/>
        <c:numFmt formatCode="mmm\-\y\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5"/>
          <c:min val="0.5"/>
        </c:scaling>
        <c:delete val="0"/>
        <c:axPos val="l"/>
        <c:majorGridlines/>
        <c:numFmt formatCode="#\ ##0.00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70915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415925</xdr:colOff>
      <xdr:row>13</xdr:row>
      <xdr:rowOff>53975</xdr:rowOff>
    </xdr:from>
    <xdr:to>
      <xdr:col>23</xdr:col>
      <xdr:colOff>393700</xdr:colOff>
      <xdr:row>37</xdr:row>
      <xdr:rowOff>143933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6BCB00E-B95D-4FBA-AE08-F03EEF934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15</xdr:row>
      <xdr:rowOff>47625</xdr:rowOff>
    </xdr:from>
    <xdr:to>
      <xdr:col>11</xdr:col>
      <xdr:colOff>209550</xdr:colOff>
      <xdr:row>38</xdr:row>
      <xdr:rowOff>95250</xdr:rowOff>
    </xdr:to>
    <xdr:graphicFrame macro="">
      <xdr:nvGraphicFramePr>
        <xdr:cNvPr id="125960" name="Graphique 2">
          <a:extLst>
            <a:ext uri="{FF2B5EF4-FFF2-40B4-BE49-F238E27FC236}">
              <a16:creationId xmlns:a16="http://schemas.microsoft.com/office/drawing/2014/main" id="{F77BD874-3449-4063-9C6B-980DBACDE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222600</xdr:colOff>
      <xdr:row>14</xdr:row>
      <xdr:rowOff>12347</xdr:rowOff>
    </xdr:from>
    <xdr:to>
      <xdr:col>29</xdr:col>
      <xdr:colOff>638527</xdr:colOff>
      <xdr:row>37</xdr:row>
      <xdr:rowOff>59972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165C716-D365-4D8D-B643-096F0196F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495300</xdr:colOff>
      <xdr:row>18</xdr:row>
      <xdr:rowOff>38100</xdr:rowOff>
    </xdr:from>
    <xdr:to>
      <xdr:col>68</xdr:col>
      <xdr:colOff>742950</xdr:colOff>
      <xdr:row>41</xdr:row>
      <xdr:rowOff>85725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ECB460DC-7720-4F5F-BA56-E36118C5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5915637R/Downloads/Tableau%20d'application%20des%20tarifs%20logistiques%20GO%202015%20HDS%202015%20HDS%202016.xls" TargetMode="External"/><Relationship Id="rId1" Type="http://schemas.openxmlformats.org/officeDocument/2006/relationships/externalLinkPath" Target="/Users/5915637R/Downloads/Tableau%20d'application%20des%20tarifs%20logistiques%20GO%202015%20HDS%202015%20HDS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rif dist gazole 2016"/>
      <sheetName val="distrib GO (MO) 2015R"/>
      <sheetName val="Installation 2015R"/>
      <sheetName val="Tpt 2015R"/>
      <sheetName val="LOG MO"/>
      <sheetName val="Sablière"/>
    </sheetNames>
    <sheetDataSet>
      <sheetData sheetId="0" refreshError="1">
        <row r="10">
          <cell r="Y10">
            <v>0.63</v>
          </cell>
          <cell r="Z10">
            <v>0.622</v>
          </cell>
          <cell r="AA10">
            <v>0.68300000000000005</v>
          </cell>
          <cell r="AB10">
            <v>0.65500000000000003</v>
          </cell>
          <cell r="AC10">
            <v>0.65900000000000003</v>
          </cell>
          <cell r="AD10">
            <v>0.69600000000000006</v>
          </cell>
          <cell r="AE10">
            <v>0.74299999999999999</v>
          </cell>
          <cell r="AF10">
            <v>0.73199999999999998</v>
          </cell>
          <cell r="AG10">
            <v>0.73199999999999998</v>
          </cell>
          <cell r="AH10">
            <v>0.74299999999999999</v>
          </cell>
          <cell r="AI10">
            <v>0.76400000000000001</v>
          </cell>
          <cell r="AJ10">
            <v>0.79800000000000004</v>
          </cell>
          <cell r="AK10">
            <v>0.74</v>
          </cell>
          <cell r="AL10">
            <v>0.67200000000000004</v>
          </cell>
          <cell r="AM10">
            <v>0.67300000000000004</v>
          </cell>
          <cell r="AN10">
            <v>0.67800000000000005</v>
          </cell>
          <cell r="AO10">
            <v>0.71099999999999997</v>
          </cell>
          <cell r="AP10">
            <v>0.71599999999999997</v>
          </cell>
          <cell r="AQ10">
            <v>0.73299999999999998</v>
          </cell>
          <cell r="AR10">
            <v>0.73699999999999999</v>
          </cell>
          <cell r="AS10">
            <v>0.68100000000000005</v>
          </cell>
          <cell r="AT10">
            <v>0.69900000000000007</v>
          </cell>
          <cell r="AU10">
            <v>0.68300000000000005</v>
          </cell>
          <cell r="AV10">
            <v>0.71299999999999997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I10"/>
  <sheetViews>
    <sheetView tabSelected="1" topLeftCell="AT1" zoomScaleNormal="100" workbookViewId="0">
      <selection activeCell="AW16" sqref="AW15:AW16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3" width="11.42578125" customWidth="1"/>
    <col min="4" max="14" width="8.7109375" customWidth="1"/>
    <col min="40" max="40" width="11.42578125" style="23"/>
  </cols>
  <sheetData>
    <row r="2" spans="2:61" ht="20.25" x14ac:dyDescent="0.3">
      <c r="B2" s="27" t="s">
        <v>39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2:61" ht="34.5" customHeight="1" x14ac:dyDescent="0.2">
      <c r="B4" s="9" t="s">
        <v>4</v>
      </c>
      <c r="C4" s="13" t="s">
        <v>27</v>
      </c>
      <c r="D4" s="13">
        <v>44562</v>
      </c>
      <c r="E4" s="13">
        <v>44593</v>
      </c>
      <c r="F4" s="13">
        <v>44621</v>
      </c>
      <c r="G4" s="8">
        <f t="shared" ref="G4:N4" si="0">+F4+31</f>
        <v>44652</v>
      </c>
      <c r="H4" s="8">
        <f t="shared" si="0"/>
        <v>44683</v>
      </c>
      <c r="I4" s="8">
        <f t="shared" si="0"/>
        <v>44714</v>
      </c>
      <c r="J4" s="8">
        <f t="shared" si="0"/>
        <v>44745</v>
      </c>
      <c r="K4" s="8">
        <f t="shared" si="0"/>
        <v>44776</v>
      </c>
      <c r="L4" s="8">
        <f t="shared" si="0"/>
        <v>44807</v>
      </c>
      <c r="M4" s="8">
        <f t="shared" si="0"/>
        <v>44838</v>
      </c>
      <c r="N4" s="8">
        <f t="shared" si="0"/>
        <v>44869</v>
      </c>
      <c r="O4" s="13" t="s">
        <v>30</v>
      </c>
      <c r="P4" s="13" t="s">
        <v>31</v>
      </c>
      <c r="Q4" s="13">
        <v>44927</v>
      </c>
      <c r="R4" s="13">
        <v>44958</v>
      </c>
      <c r="S4" s="13">
        <v>44986</v>
      </c>
      <c r="T4" s="13">
        <v>45017</v>
      </c>
      <c r="U4" s="13">
        <v>45047</v>
      </c>
      <c r="V4" s="13">
        <v>45078</v>
      </c>
      <c r="W4" s="13">
        <v>45108</v>
      </c>
      <c r="X4" s="13">
        <v>45139</v>
      </c>
      <c r="Y4" s="13">
        <v>45170</v>
      </c>
      <c r="Z4" s="13">
        <v>45200</v>
      </c>
      <c r="AA4" s="13">
        <v>45231</v>
      </c>
      <c r="AB4" s="13" t="s">
        <v>32</v>
      </c>
      <c r="AC4" s="13" t="s">
        <v>33</v>
      </c>
      <c r="AD4" s="13">
        <v>45292</v>
      </c>
      <c r="AE4" s="13">
        <v>45323</v>
      </c>
      <c r="AF4" s="13">
        <v>45352</v>
      </c>
      <c r="AG4" s="13">
        <v>45383</v>
      </c>
      <c r="AH4" s="13">
        <v>45413</v>
      </c>
      <c r="AI4" s="13">
        <v>45444</v>
      </c>
      <c r="AJ4" s="13">
        <v>45474</v>
      </c>
      <c r="AK4" s="13">
        <v>45505</v>
      </c>
      <c r="AL4" s="13">
        <v>45536</v>
      </c>
      <c r="AM4" s="13">
        <v>45566</v>
      </c>
      <c r="AN4" s="24">
        <v>45597</v>
      </c>
      <c r="AO4" s="13" t="s">
        <v>34</v>
      </c>
      <c r="AP4" s="13" t="s">
        <v>35</v>
      </c>
      <c r="AQ4" s="13">
        <v>45658</v>
      </c>
      <c r="AR4" s="13">
        <v>45689</v>
      </c>
      <c r="AS4" s="13">
        <v>45717</v>
      </c>
      <c r="AT4" s="13">
        <v>45748</v>
      </c>
      <c r="AU4" s="13">
        <v>45778</v>
      </c>
      <c r="AV4" s="13">
        <v>45809</v>
      </c>
      <c r="AW4" s="13">
        <v>45839</v>
      </c>
      <c r="AX4" s="13">
        <v>45870</v>
      </c>
      <c r="AY4" s="13">
        <v>45901</v>
      </c>
      <c r="AZ4" s="13">
        <v>45931</v>
      </c>
      <c r="BA4" s="13">
        <v>45962</v>
      </c>
      <c r="BB4" s="13" t="s">
        <v>40</v>
      </c>
      <c r="BC4" s="13" t="s">
        <v>41</v>
      </c>
      <c r="BD4" s="13">
        <v>46023</v>
      </c>
      <c r="BE4" s="13">
        <v>46054</v>
      </c>
      <c r="BF4" s="13">
        <v>46082</v>
      </c>
      <c r="BG4" s="13">
        <v>46113</v>
      </c>
      <c r="BH4" s="13">
        <v>46143</v>
      </c>
      <c r="BI4" s="13">
        <v>46174</v>
      </c>
    </row>
    <row r="5" spans="2:61" ht="15" customHeight="1" x14ac:dyDescent="0.2">
      <c r="B5" s="5" t="s">
        <v>0</v>
      </c>
      <c r="C5" s="6">
        <f>0.025+0.74672</f>
        <v>0.77172000000000007</v>
      </c>
      <c r="D5" s="6">
        <f>0.025+0.84614</f>
        <v>0.87114000000000003</v>
      </c>
      <c r="E5" s="6">
        <f>0.025+0.90587</f>
        <v>0.93086999999999998</v>
      </c>
      <c r="F5" s="6">
        <f>0.025+1.15374</f>
        <v>1.1787399999999999</v>
      </c>
      <c r="G5" s="6">
        <f>0.025+1.005</f>
        <v>1.0299999999999998</v>
      </c>
      <c r="H5" s="6">
        <f>0.025+1.03636</f>
        <v>1.0613599999999999</v>
      </c>
      <c r="I5" s="6">
        <f>0.025+1.22724</f>
        <v>1.25224</v>
      </c>
      <c r="J5" s="6">
        <f>0.025+1.10389</f>
        <v>1.1288899999999999</v>
      </c>
      <c r="K5" s="6">
        <f>0.025+1.04065</f>
        <v>1.06565</v>
      </c>
      <c r="L5" s="6">
        <f>0.025+0.92351</f>
        <v>0.94851000000000008</v>
      </c>
      <c r="M5" s="6">
        <f>0.025+1.06308</f>
        <v>1.0880799999999999</v>
      </c>
      <c r="N5" s="6">
        <f>0.025+0.9806</f>
        <v>1.0056</v>
      </c>
      <c r="O5" s="6">
        <f>0.025+0.93296</f>
        <v>0.95796000000000003</v>
      </c>
      <c r="P5" s="6">
        <f>0.024+0.93296</f>
        <v>0.95696000000000003</v>
      </c>
      <c r="Q5" s="6">
        <f>0.024+1.0218</f>
        <v>1.0458000000000001</v>
      </c>
      <c r="R5" s="6">
        <f>0.024+0.93745</f>
        <v>0.96145000000000003</v>
      </c>
      <c r="S5" s="6">
        <f>0.024+0.91884</f>
        <v>0.94284000000000001</v>
      </c>
      <c r="T5" s="6">
        <f>0.024+0.87034</f>
        <v>0.89434000000000002</v>
      </c>
      <c r="U5" s="6">
        <f>0.024+0.81307</f>
        <v>0.83706999999999998</v>
      </c>
      <c r="V5" s="6">
        <f>0.024+0.86073</f>
        <v>0.88473000000000002</v>
      </c>
      <c r="W5" s="6">
        <f>0.024+0.90209</f>
        <v>0.92608999999999997</v>
      </c>
      <c r="X5" s="6">
        <f>0.024+1.00642</f>
        <v>1.0304200000000001</v>
      </c>
      <c r="Y5" s="6">
        <f>0.024+1.07537</f>
        <v>1.09937</v>
      </c>
      <c r="Z5" s="6">
        <f>0.024+1.033</f>
        <v>1.0569999999999999</v>
      </c>
      <c r="AA5" s="6">
        <f>0.024+0.96248</f>
        <v>0.98648000000000002</v>
      </c>
      <c r="AB5" s="6">
        <f>0.024+0.9078</f>
        <v>0.93180000000000007</v>
      </c>
      <c r="AC5" s="6">
        <f>0.026+0.9078</f>
        <v>0.93380000000000007</v>
      </c>
      <c r="AD5" s="6">
        <f>0.026+0.93769</f>
        <v>0.96369000000000005</v>
      </c>
      <c r="AE5" s="6">
        <f>0.026+0.95701</f>
        <v>0.98301000000000005</v>
      </c>
      <c r="AF5" s="6">
        <f>0.026+0.93176</f>
        <v>0.95776000000000006</v>
      </c>
      <c r="AG5" s="6">
        <f>0.026+0.92207</f>
        <v>0.94806999999999997</v>
      </c>
      <c r="AH5" s="6">
        <f>0.026+0.8732</f>
        <v>0.8992</v>
      </c>
      <c r="AI5" s="6">
        <f>0.026+0.8946</f>
        <v>0.92059999999999997</v>
      </c>
      <c r="AJ5" s="6">
        <f>0.026+0.8965</f>
        <v>0.92249999999999999</v>
      </c>
      <c r="AK5" s="6">
        <f>0.026+0.827</f>
        <v>0.85299999999999998</v>
      </c>
      <c r="AL5" s="6">
        <f>0.026+0.7837</f>
        <v>0.80969999999999998</v>
      </c>
      <c r="AM5" s="6">
        <f>0.026+0.80354</f>
        <v>0.82954000000000006</v>
      </c>
      <c r="AN5" s="22">
        <f>0.026+0.82418</f>
        <v>0.85018000000000005</v>
      </c>
      <c r="AO5" s="6">
        <f>0.026+0.83062</f>
        <v>0.85662000000000005</v>
      </c>
      <c r="AP5" s="6">
        <f>0.026+0.83062</f>
        <v>0.85662000000000005</v>
      </c>
      <c r="AQ5" s="6">
        <f>0.026+0.87504</f>
        <v>0.90104000000000006</v>
      </c>
      <c r="AR5" s="6">
        <f>0.026+0.84307</f>
        <v>0.86907000000000001</v>
      </c>
      <c r="AS5" s="6">
        <f>0.026+0.78695</f>
        <v>0.81295000000000006</v>
      </c>
      <c r="AT5" s="6">
        <f>0.026+0.73559</f>
        <v>0.76158999999999999</v>
      </c>
      <c r="AU5" s="6">
        <f>0.026+0.72328</f>
        <v>0.74928000000000006</v>
      </c>
      <c r="AV5" s="6">
        <f>0.026+0.76528</f>
        <v>0.79127999999999998</v>
      </c>
      <c r="AW5" s="6">
        <f>0.026+0.79351</f>
        <v>0.81951000000000007</v>
      </c>
      <c r="AX5" s="6">
        <f>0.026+0.75251</f>
        <v>0.77851000000000004</v>
      </c>
      <c r="AY5" s="6">
        <f>0.026+0.76662</f>
        <v>0.79261999999999999</v>
      </c>
      <c r="AZ5" s="6">
        <f>0.026+0.75918</f>
        <v>0.78517999999999999</v>
      </c>
      <c r="BA5" s="6">
        <f>0.026+0.80725</f>
        <v>0.83325000000000005</v>
      </c>
      <c r="BB5" s="6">
        <f>0.026+0.728</f>
        <v>0.754</v>
      </c>
      <c r="BC5" s="6">
        <f>0.025+0.728</f>
        <v>0.753</v>
      </c>
      <c r="BD5" s="6">
        <f>0.025+0.743</f>
        <v>0.76800000000000002</v>
      </c>
      <c r="BE5" s="6">
        <f>0.025+0.781</f>
        <v>0.80600000000000005</v>
      </c>
      <c r="BF5" s="6">
        <f>0.025+1.18289</f>
        <v>1.2078899999999999</v>
      </c>
      <c r="BG5" s="6">
        <f>0.025+1.2224</f>
        <v>1.2473999999999998</v>
      </c>
      <c r="BH5" s="6">
        <f>0.025+1.12741</f>
        <v>1.1524099999999999</v>
      </c>
      <c r="BI5" s="6">
        <f>0.025+0.99615</f>
        <v>1.02115</v>
      </c>
    </row>
    <row r="6" spans="2:61" ht="12.75" customHeight="1" x14ac:dyDescent="0.2">
      <c r="B6" s="5" t="s">
        <v>1</v>
      </c>
      <c r="C6" s="6">
        <v>0.10199999999999999</v>
      </c>
      <c r="D6" s="6">
        <v>0.10199999999999999</v>
      </c>
      <c r="E6" s="6">
        <v>0.10199999999999999</v>
      </c>
      <c r="F6" s="6">
        <v>0.10199999999999999</v>
      </c>
      <c r="G6" s="6">
        <v>0.10199999999999999</v>
      </c>
      <c r="H6" s="6">
        <v>0.10199999999999999</v>
      </c>
      <c r="I6" s="6">
        <v>0.10199999999999999</v>
      </c>
      <c r="J6" s="6">
        <v>0.10199999999999999</v>
      </c>
      <c r="K6" s="6">
        <v>0.10199999999999999</v>
      </c>
      <c r="L6" s="6">
        <v>0.10199999999999999</v>
      </c>
      <c r="M6" s="6">
        <v>0.10199999999999999</v>
      </c>
      <c r="N6" s="6">
        <v>0.10199999999999999</v>
      </c>
      <c r="O6" s="6">
        <v>0.10199999999999999</v>
      </c>
      <c r="P6" s="6">
        <v>0.108</v>
      </c>
      <c r="Q6" s="6">
        <v>0.108</v>
      </c>
      <c r="R6" s="6">
        <v>0.11</v>
      </c>
      <c r="S6" s="6">
        <v>0.11</v>
      </c>
      <c r="T6" s="6">
        <v>0.11</v>
      </c>
      <c r="U6" s="6">
        <v>0.11</v>
      </c>
      <c r="V6" s="6">
        <v>0.11</v>
      </c>
      <c r="W6" s="6">
        <v>0.11</v>
      </c>
      <c r="X6" s="6">
        <v>0.11</v>
      </c>
      <c r="Y6" s="6">
        <v>0.11</v>
      </c>
      <c r="Z6" s="6">
        <v>0.11</v>
      </c>
      <c r="AA6" s="6">
        <v>0.11</v>
      </c>
      <c r="AB6" s="6">
        <v>0.11</v>
      </c>
      <c r="AC6" s="6">
        <v>0.114</v>
      </c>
      <c r="AD6" s="6">
        <v>0.114</v>
      </c>
      <c r="AE6" s="6">
        <v>0.114</v>
      </c>
      <c r="AF6" s="6">
        <v>0.114</v>
      </c>
      <c r="AG6" s="6">
        <v>0.114</v>
      </c>
      <c r="AH6" s="6">
        <v>0.114</v>
      </c>
      <c r="AI6" s="6">
        <v>0.114</v>
      </c>
      <c r="AJ6" s="6">
        <v>0.114</v>
      </c>
      <c r="AK6" s="6">
        <v>0.114</v>
      </c>
      <c r="AL6" s="6">
        <v>0.114</v>
      </c>
      <c r="AM6" s="6">
        <v>0.114</v>
      </c>
      <c r="AN6" s="22">
        <v>0.114</v>
      </c>
      <c r="AO6" s="6">
        <v>0.114</v>
      </c>
      <c r="AP6" s="6">
        <v>0.11600000000000001</v>
      </c>
      <c r="AQ6" s="6">
        <v>0.11600000000000001</v>
      </c>
      <c r="AR6" s="6">
        <v>0.11600000000000001</v>
      </c>
      <c r="AS6" s="6">
        <v>0.11600000000000001</v>
      </c>
      <c r="AT6" s="6">
        <v>0.11600000000000001</v>
      </c>
      <c r="AU6" s="6">
        <v>0.11600000000000001</v>
      </c>
      <c r="AV6" s="6">
        <v>0.11600000000000001</v>
      </c>
      <c r="AW6" s="6">
        <v>0.11600000000000001</v>
      </c>
      <c r="AX6" s="6">
        <v>0.11600000000000001</v>
      </c>
      <c r="AY6" s="6">
        <v>0.11600000000000001</v>
      </c>
      <c r="AZ6" s="6">
        <v>0.11600000000000001</v>
      </c>
      <c r="BA6" s="6">
        <v>0.11600000000000001</v>
      </c>
      <c r="BB6" s="6">
        <v>0.11600000000000001</v>
      </c>
      <c r="BC6" s="6">
        <v>0.121</v>
      </c>
      <c r="BD6" s="6">
        <v>0.121</v>
      </c>
      <c r="BE6" s="6">
        <v>0.121</v>
      </c>
      <c r="BF6" s="6">
        <v>0.121</v>
      </c>
      <c r="BG6" s="6">
        <v>0.121</v>
      </c>
      <c r="BH6" s="6">
        <v>0.121</v>
      </c>
      <c r="BI6" s="6">
        <v>0.121</v>
      </c>
    </row>
    <row r="7" spans="2:61" ht="12.75" customHeight="1" x14ac:dyDescent="0.2">
      <c r="B7" s="5" t="s">
        <v>2</v>
      </c>
      <c r="C7" s="6">
        <v>0.04</v>
      </c>
      <c r="D7" s="6">
        <v>0.04</v>
      </c>
      <c r="E7" s="6">
        <v>0.04</v>
      </c>
      <c r="F7" s="6">
        <v>0.04</v>
      </c>
      <c r="G7" s="6">
        <v>0.04</v>
      </c>
      <c r="H7" s="6">
        <v>0.04</v>
      </c>
      <c r="I7" s="6">
        <v>0.04</v>
      </c>
      <c r="J7" s="6">
        <v>0.04</v>
      </c>
      <c r="K7" s="6">
        <v>0.04</v>
      </c>
      <c r="L7" s="6">
        <v>0.04</v>
      </c>
      <c r="M7" s="6">
        <v>0.04</v>
      </c>
      <c r="N7" s="6">
        <v>0.04</v>
      </c>
      <c r="O7" s="6">
        <v>0.04</v>
      </c>
      <c r="P7" s="6">
        <v>3.9E-2</v>
      </c>
      <c r="Q7" s="6">
        <v>3.9E-2</v>
      </c>
      <c r="R7" s="6">
        <v>3.9E-2</v>
      </c>
      <c r="S7" s="6">
        <v>3.9E-2</v>
      </c>
      <c r="T7" s="6">
        <v>3.9E-2</v>
      </c>
      <c r="U7" s="6">
        <v>3.9E-2</v>
      </c>
      <c r="V7" s="6">
        <v>3.9E-2</v>
      </c>
      <c r="W7" s="6">
        <v>3.9E-2</v>
      </c>
      <c r="X7" s="6">
        <v>3.9E-2</v>
      </c>
      <c r="Y7" s="6">
        <v>3.9E-2</v>
      </c>
      <c r="Z7" s="6">
        <v>3.9E-2</v>
      </c>
      <c r="AA7" s="6">
        <v>3.9E-2</v>
      </c>
      <c r="AB7" s="6">
        <v>3.9E-2</v>
      </c>
      <c r="AC7" s="6">
        <v>4.1000000000000002E-2</v>
      </c>
      <c r="AD7" s="6">
        <v>4.1000000000000002E-2</v>
      </c>
      <c r="AE7" s="6">
        <v>4.1000000000000002E-2</v>
      </c>
      <c r="AF7" s="6">
        <v>4.1000000000000002E-2</v>
      </c>
      <c r="AG7" s="6">
        <v>4.1000000000000002E-2</v>
      </c>
      <c r="AH7" s="6">
        <v>4.1000000000000002E-2</v>
      </c>
      <c r="AI7" s="6">
        <v>4.1000000000000002E-2</v>
      </c>
      <c r="AJ7" s="6">
        <v>4.1000000000000002E-2</v>
      </c>
      <c r="AK7" s="6">
        <v>4.1000000000000002E-2</v>
      </c>
      <c r="AL7" s="6">
        <v>4.1000000000000002E-2</v>
      </c>
      <c r="AM7" s="6">
        <v>4.1000000000000002E-2</v>
      </c>
      <c r="AN7" s="22">
        <v>4.1000000000000002E-2</v>
      </c>
      <c r="AO7" s="6">
        <v>4.1000000000000002E-2</v>
      </c>
      <c r="AP7" s="6">
        <v>4.1000000000000002E-2</v>
      </c>
      <c r="AQ7" s="6">
        <v>4.1000000000000002E-2</v>
      </c>
      <c r="AR7" s="6">
        <v>4.1000000000000002E-2</v>
      </c>
      <c r="AS7" s="6">
        <v>4.1000000000000002E-2</v>
      </c>
      <c r="AT7" s="6">
        <v>4.1000000000000002E-2</v>
      </c>
      <c r="AU7" s="6">
        <v>4.1000000000000002E-2</v>
      </c>
      <c r="AV7" s="6">
        <v>4.1000000000000002E-2</v>
      </c>
      <c r="AW7" s="6">
        <v>4.1000000000000002E-2</v>
      </c>
      <c r="AX7" s="6">
        <v>4.1000000000000002E-2</v>
      </c>
      <c r="AY7" s="6">
        <v>4.1000000000000002E-2</v>
      </c>
      <c r="AZ7" s="6">
        <v>4.1000000000000002E-2</v>
      </c>
      <c r="BA7" s="6">
        <v>4.1000000000000002E-2</v>
      </c>
      <c r="BB7" s="6">
        <v>4.1000000000000002E-2</v>
      </c>
      <c r="BC7" s="6">
        <v>4.3999999999999997E-2</v>
      </c>
      <c r="BD7" s="6">
        <v>4.3999999999999997E-2</v>
      </c>
      <c r="BE7" s="6">
        <v>4.3999999999999997E-2</v>
      </c>
      <c r="BF7" s="6">
        <v>4.3999999999999997E-2</v>
      </c>
      <c r="BG7" s="6">
        <v>4.3999999999999997E-2</v>
      </c>
      <c r="BH7" s="6">
        <v>4.3999999999999997E-2</v>
      </c>
      <c r="BI7" s="6">
        <v>4.3999999999999997E-2</v>
      </c>
    </row>
    <row r="8" spans="2:61" ht="12.75" customHeight="1" x14ac:dyDescent="0.2"/>
    <row r="9" spans="2:61" ht="12.75" customHeight="1" x14ac:dyDescent="0.2">
      <c r="B9" s="7" t="s">
        <v>3</v>
      </c>
      <c r="C9" s="6">
        <f t="shared" ref="C9:N9" si="1">C5+C6+C7</f>
        <v>0.91372000000000009</v>
      </c>
      <c r="D9" s="6">
        <f t="shared" si="1"/>
        <v>1.0131399999999999</v>
      </c>
      <c r="E9" s="6">
        <f t="shared" si="1"/>
        <v>1.07287</v>
      </c>
      <c r="F9" s="6">
        <f t="shared" si="1"/>
        <v>1.32074</v>
      </c>
      <c r="G9" s="6">
        <f t="shared" si="1"/>
        <v>1.1719999999999999</v>
      </c>
      <c r="H9" s="6">
        <f t="shared" si="1"/>
        <v>1.20336</v>
      </c>
      <c r="I9" s="6">
        <f>I5+I6+I7</f>
        <v>1.3942400000000001</v>
      </c>
      <c r="J9" s="6">
        <f t="shared" si="1"/>
        <v>1.2708900000000001</v>
      </c>
      <c r="K9" s="6">
        <f t="shared" si="1"/>
        <v>1.2076500000000001</v>
      </c>
      <c r="L9" s="6">
        <f t="shared" si="1"/>
        <v>1.0905100000000001</v>
      </c>
      <c r="M9" s="6">
        <f t="shared" si="1"/>
        <v>1.2300800000000001</v>
      </c>
      <c r="N9" s="6">
        <f t="shared" si="1"/>
        <v>1.1476000000000002</v>
      </c>
      <c r="O9" s="6">
        <f t="shared" ref="O9:P9" si="2">O5+O6+O7</f>
        <v>1.09996</v>
      </c>
      <c r="P9" s="6">
        <f t="shared" si="2"/>
        <v>1.1039600000000001</v>
      </c>
      <c r="Q9" s="6">
        <f t="shared" ref="Q9:R9" si="3">Q5+Q6+Q7</f>
        <v>1.1928000000000001</v>
      </c>
      <c r="R9" s="6">
        <f t="shared" si="3"/>
        <v>1.1104499999999999</v>
      </c>
      <c r="S9" s="6">
        <f t="shared" ref="S9:T9" si="4">S5+S6+S7</f>
        <v>1.0918399999999999</v>
      </c>
      <c r="T9" s="6">
        <f t="shared" si="4"/>
        <v>1.0433399999999999</v>
      </c>
      <c r="U9" s="6">
        <f t="shared" ref="U9:V9" si="5">U5+U6+U7</f>
        <v>0.98607</v>
      </c>
      <c r="V9" s="6">
        <f t="shared" si="5"/>
        <v>1.03373</v>
      </c>
      <c r="W9" s="6">
        <f t="shared" ref="W9:X9" si="6">W5+W6+W7</f>
        <v>1.0750899999999999</v>
      </c>
      <c r="X9" s="6">
        <f t="shared" si="6"/>
        <v>1.1794200000000001</v>
      </c>
      <c r="Y9" s="6">
        <f t="shared" ref="Y9:Z9" si="7">Y5+Y6+Y7</f>
        <v>1.24837</v>
      </c>
      <c r="Z9" s="6">
        <f t="shared" si="7"/>
        <v>1.206</v>
      </c>
      <c r="AA9" s="6">
        <f t="shared" ref="AA9:AC9" si="8">AA5+AA6+AA7</f>
        <v>1.13548</v>
      </c>
      <c r="AB9" s="6">
        <f t="shared" si="8"/>
        <v>1.0808</v>
      </c>
      <c r="AC9" s="6">
        <f t="shared" si="8"/>
        <v>1.0888</v>
      </c>
      <c r="AD9" s="6">
        <f t="shared" ref="AD9:AE9" si="9">AD5+AD6+AD7</f>
        <v>1.11869</v>
      </c>
      <c r="AE9" s="6">
        <f t="shared" si="9"/>
        <v>1.13801</v>
      </c>
      <c r="AF9" s="6">
        <f t="shared" ref="AF9:AG9" si="10">AF5+AF6+AF7</f>
        <v>1.11276</v>
      </c>
      <c r="AG9" s="6">
        <f t="shared" si="10"/>
        <v>1.10307</v>
      </c>
      <c r="AH9" s="6">
        <f t="shared" ref="AH9:AI9" si="11">AH5+AH6+AH7</f>
        <v>1.0542</v>
      </c>
      <c r="AI9" s="6">
        <f t="shared" si="11"/>
        <v>1.0755999999999999</v>
      </c>
      <c r="AJ9" s="6">
        <f t="shared" ref="AJ9:AK9" si="12">AJ5+AJ6+AJ7</f>
        <v>1.0774999999999999</v>
      </c>
      <c r="AK9" s="6">
        <f t="shared" si="12"/>
        <v>1.008</v>
      </c>
      <c r="AL9" s="6">
        <f t="shared" ref="AL9:AM9" si="13">AL5+AL6+AL7</f>
        <v>0.9647</v>
      </c>
      <c r="AM9" s="6">
        <f t="shared" si="13"/>
        <v>0.98454000000000008</v>
      </c>
      <c r="AN9" s="22">
        <f t="shared" ref="AN9:AO9" si="14">AN5+AN6+AN7</f>
        <v>1.00518</v>
      </c>
      <c r="AO9" s="6">
        <f t="shared" si="14"/>
        <v>1.01162</v>
      </c>
      <c r="AP9" s="6">
        <f t="shared" ref="AP9:AQ9" si="15">AP5+AP6+AP7</f>
        <v>1.01362</v>
      </c>
      <c r="AQ9" s="6">
        <f t="shared" si="15"/>
        <v>1.0580400000000001</v>
      </c>
      <c r="AR9" s="6">
        <f t="shared" ref="AR9:AS9" si="16">AR5+AR6+AR7</f>
        <v>1.02607</v>
      </c>
      <c r="AS9" s="6">
        <f t="shared" si="16"/>
        <v>0.96995000000000009</v>
      </c>
      <c r="AT9" s="6">
        <f t="shared" ref="AT9:AU9" si="17">AT5+AT6+AT7</f>
        <v>0.91859000000000002</v>
      </c>
      <c r="AU9" s="6">
        <f t="shared" si="17"/>
        <v>0.90628000000000009</v>
      </c>
      <c r="AV9" s="6">
        <f t="shared" ref="AV9:AW9" si="18">AV5+AV6+AV7</f>
        <v>0.94828000000000001</v>
      </c>
      <c r="AW9" s="6">
        <f t="shared" si="18"/>
        <v>0.9765100000000001</v>
      </c>
      <c r="AX9" s="6">
        <f t="shared" ref="AX9:AY9" si="19">AX5+AX6+AX7</f>
        <v>0.93551000000000006</v>
      </c>
      <c r="AY9" s="6">
        <f t="shared" si="19"/>
        <v>0.94962000000000002</v>
      </c>
      <c r="AZ9" s="6">
        <f t="shared" ref="AZ9:BA9" si="20">AZ5+AZ6+AZ7</f>
        <v>0.94218000000000002</v>
      </c>
      <c r="BA9" s="6">
        <f t="shared" si="20"/>
        <v>0.99025000000000007</v>
      </c>
      <c r="BB9" s="6">
        <f t="shared" ref="BB9:BC9" si="21">BB5+BB6+BB7</f>
        <v>0.91100000000000003</v>
      </c>
      <c r="BC9" s="6">
        <f t="shared" si="21"/>
        <v>0.91800000000000004</v>
      </c>
      <c r="BD9" s="6">
        <f t="shared" ref="BD9:BE9" si="22">BD5+BD6+BD7</f>
        <v>0.93300000000000005</v>
      </c>
      <c r="BE9" s="6">
        <f t="shared" si="22"/>
        <v>0.97100000000000009</v>
      </c>
      <c r="BF9" s="6">
        <f t="shared" ref="BF9:BG9" si="23">BF5+BF6+BF7</f>
        <v>1.3728899999999999</v>
      </c>
      <c r="BG9" s="6">
        <f t="shared" si="23"/>
        <v>1.4123999999999999</v>
      </c>
      <c r="BH9" s="6">
        <f t="shared" ref="BH9:BI9" si="24">BH5+BH6+BH7</f>
        <v>1.31741</v>
      </c>
      <c r="BI9" s="6">
        <f t="shared" si="24"/>
        <v>1.18615</v>
      </c>
    </row>
    <row r="10" spans="2:61" x14ac:dyDescent="0.2">
      <c r="D10" s="17">
        <f>D5-0.025</f>
        <v>0.84614</v>
      </c>
      <c r="E10" s="17">
        <f t="shared" ref="E10:O10" si="25">E5-0.025</f>
        <v>0.90586999999999995</v>
      </c>
      <c r="F10" s="17">
        <f t="shared" si="25"/>
        <v>1.15374</v>
      </c>
      <c r="G10" s="17">
        <f t="shared" si="25"/>
        <v>1.0049999999999999</v>
      </c>
      <c r="H10" s="17">
        <f t="shared" si="25"/>
        <v>1.0363599999999999</v>
      </c>
      <c r="I10" s="17">
        <f t="shared" si="25"/>
        <v>1.2272400000000001</v>
      </c>
      <c r="J10" s="17">
        <f t="shared" si="25"/>
        <v>1.10389</v>
      </c>
      <c r="K10" s="17">
        <f t="shared" si="25"/>
        <v>1.0406500000000001</v>
      </c>
      <c r="L10" s="17">
        <f t="shared" si="25"/>
        <v>0.92351000000000005</v>
      </c>
      <c r="M10" s="17">
        <f t="shared" si="25"/>
        <v>1.06308</v>
      </c>
      <c r="N10" s="17">
        <f t="shared" si="25"/>
        <v>0.98060000000000003</v>
      </c>
      <c r="O10" s="17">
        <f t="shared" si="25"/>
        <v>0.93296000000000001</v>
      </c>
      <c r="P10" s="17">
        <f>P5-0.024</f>
        <v>0.93296000000000001</v>
      </c>
      <c r="Q10" s="17">
        <f t="shared" ref="Q10:T10" si="26">Q5-0.024</f>
        <v>1.0218</v>
      </c>
      <c r="R10" s="17">
        <f t="shared" si="26"/>
        <v>0.93745000000000001</v>
      </c>
      <c r="S10" s="17">
        <f t="shared" si="26"/>
        <v>0.91883999999999999</v>
      </c>
      <c r="T10" s="17">
        <f t="shared" si="26"/>
        <v>0.87034</v>
      </c>
    </row>
  </sheetData>
  <mergeCells count="1">
    <mergeCell ref="B2:O2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&amp;L&amp;1#&amp;"Calibri"&amp;10&amp;K008000Interne</oddFoot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I13"/>
  <sheetViews>
    <sheetView topLeftCell="AR1" zoomScale="90" zoomScaleNormal="90" workbookViewId="0">
      <selection activeCell="AV16" sqref="AV16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3" width="11.7109375" customWidth="1"/>
    <col min="4" max="14" width="8.7109375" hidden="1" customWidth="1"/>
    <col min="15" max="19" width="0" hidden="1" customWidth="1"/>
    <col min="38" max="38" width="11.42578125" style="23"/>
    <col min="48" max="48" width="11.42578125" style="23"/>
  </cols>
  <sheetData>
    <row r="2" spans="2:61" ht="20.25" x14ac:dyDescent="0.3">
      <c r="B2" s="27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2:61" ht="34.5" customHeight="1" x14ac:dyDescent="0.2">
      <c r="B4" s="9" t="s">
        <v>4</v>
      </c>
      <c r="C4" s="13" t="s">
        <v>27</v>
      </c>
      <c r="D4" s="13">
        <v>44562</v>
      </c>
      <c r="E4" s="13">
        <v>44593</v>
      </c>
      <c r="F4" s="13">
        <v>44621</v>
      </c>
      <c r="G4" s="8">
        <f t="shared" ref="G4:N4" si="0">+F4+31</f>
        <v>44652</v>
      </c>
      <c r="H4" s="8">
        <f t="shared" si="0"/>
        <v>44683</v>
      </c>
      <c r="I4" s="8">
        <f t="shared" si="0"/>
        <v>44714</v>
      </c>
      <c r="J4" s="8">
        <f t="shared" si="0"/>
        <v>44745</v>
      </c>
      <c r="K4" s="8">
        <f t="shared" si="0"/>
        <v>44776</v>
      </c>
      <c r="L4" s="8">
        <f t="shared" si="0"/>
        <v>44807</v>
      </c>
      <c r="M4" s="8">
        <f t="shared" si="0"/>
        <v>44838</v>
      </c>
      <c r="N4" s="8">
        <f t="shared" si="0"/>
        <v>44869</v>
      </c>
      <c r="O4" s="13" t="s">
        <v>30</v>
      </c>
      <c r="P4" s="13" t="s">
        <v>31</v>
      </c>
      <c r="Q4" s="13">
        <v>44927</v>
      </c>
      <c r="R4" s="13">
        <v>44958</v>
      </c>
      <c r="S4" s="13">
        <v>44986</v>
      </c>
      <c r="T4" s="13">
        <v>45017</v>
      </c>
      <c r="U4" s="13">
        <v>45047</v>
      </c>
      <c r="V4" s="13">
        <v>45078</v>
      </c>
      <c r="W4" s="13">
        <v>45108</v>
      </c>
      <c r="X4" s="13">
        <v>45139</v>
      </c>
      <c r="Y4" s="13">
        <v>45170</v>
      </c>
      <c r="Z4" s="13">
        <v>45200</v>
      </c>
      <c r="AA4" s="24">
        <v>45231</v>
      </c>
      <c r="AB4" s="13" t="s">
        <v>32</v>
      </c>
      <c r="AC4" s="13" t="s">
        <v>33</v>
      </c>
      <c r="AD4" s="13">
        <v>45292</v>
      </c>
      <c r="AE4" s="13">
        <v>45323</v>
      </c>
      <c r="AF4" s="13">
        <v>45352</v>
      </c>
      <c r="AG4" s="13">
        <v>45383</v>
      </c>
      <c r="AH4" s="13">
        <v>45413</v>
      </c>
      <c r="AI4" s="13">
        <v>45444</v>
      </c>
      <c r="AJ4" s="13">
        <v>45474</v>
      </c>
      <c r="AK4" s="13">
        <v>45505</v>
      </c>
      <c r="AL4" s="24">
        <v>45536</v>
      </c>
      <c r="AM4" s="13">
        <v>45566</v>
      </c>
      <c r="AN4" s="13">
        <v>45597</v>
      </c>
      <c r="AO4" s="13" t="s">
        <v>36</v>
      </c>
      <c r="AP4" s="13" t="s">
        <v>37</v>
      </c>
      <c r="AQ4" s="13">
        <v>45658</v>
      </c>
      <c r="AR4" s="13">
        <v>45689</v>
      </c>
      <c r="AS4" s="13">
        <v>45717</v>
      </c>
      <c r="AT4" s="13">
        <v>45748</v>
      </c>
      <c r="AU4" s="13">
        <v>45778</v>
      </c>
      <c r="AV4" s="24">
        <v>45809</v>
      </c>
      <c r="AW4" s="24">
        <v>45839</v>
      </c>
      <c r="AX4" s="24">
        <v>45870</v>
      </c>
      <c r="AY4" s="24">
        <v>45901</v>
      </c>
      <c r="AZ4" s="24">
        <v>45931</v>
      </c>
      <c r="BA4" s="24">
        <v>45962</v>
      </c>
      <c r="BB4" s="13" t="s">
        <v>40</v>
      </c>
      <c r="BC4" s="13" t="s">
        <v>41</v>
      </c>
      <c r="BD4" s="13">
        <v>46023</v>
      </c>
      <c r="BE4" s="13">
        <v>46054</v>
      </c>
      <c r="BF4" s="13">
        <v>46082</v>
      </c>
      <c r="BG4" s="13">
        <v>46113</v>
      </c>
      <c r="BH4" s="13">
        <v>46143</v>
      </c>
      <c r="BI4" s="13">
        <v>46174</v>
      </c>
    </row>
    <row r="5" spans="2:61" ht="15" customHeight="1" x14ac:dyDescent="0.2">
      <c r="B5" s="5" t="s">
        <v>28</v>
      </c>
      <c r="C5" s="6">
        <f>0.005+0.82733</f>
        <v>0.83233000000000001</v>
      </c>
      <c r="D5" s="6">
        <f>0.005+0.921</f>
        <v>0.92600000000000005</v>
      </c>
      <c r="E5" s="6">
        <f>0.005+0.90767</f>
        <v>0.91266999999999998</v>
      </c>
      <c r="F5" s="6">
        <f>0.005+1.15374</f>
        <v>1.1587399999999999</v>
      </c>
      <c r="G5" s="6">
        <f>0.005+1.13408</f>
        <v>1.1390799999999999</v>
      </c>
      <c r="H5" s="6">
        <f>0.005+1.15004</f>
        <v>1.1550399999999998</v>
      </c>
      <c r="I5" s="6">
        <f>0.005+1.35921</f>
        <v>1.3642099999999999</v>
      </c>
      <c r="J5" s="6">
        <f>0.005+1.21526</f>
        <v>1.2202599999999999</v>
      </c>
      <c r="K5" s="6">
        <f>0.005+1.14692</f>
        <v>1.1519199999999998</v>
      </c>
      <c r="L5" s="6">
        <f>0.005+1.13584</f>
        <v>1.1408399999999999</v>
      </c>
      <c r="M5" s="6">
        <f>0.005+1.17724</f>
        <v>1.18224</v>
      </c>
      <c r="N5" s="6">
        <f>0.005+1.10558</f>
        <v>1.1105799999999999</v>
      </c>
      <c r="O5" s="6">
        <f>0.005+1.105736</f>
        <v>1.1107359999999999</v>
      </c>
      <c r="P5" s="6">
        <f>0.005+1.105736</f>
        <v>1.1107359999999999</v>
      </c>
      <c r="Q5" s="6">
        <f>0.005+1.13546</f>
        <v>1.1404599999999998</v>
      </c>
      <c r="R5" s="6">
        <f>0.005+1.0607</f>
        <v>1.0656999999999999</v>
      </c>
      <c r="S5" s="6">
        <f>0.005+1.03766</f>
        <v>1.0426599999999999</v>
      </c>
      <c r="T5" s="6">
        <f>0.005+0.98551</f>
        <v>0.99051</v>
      </c>
      <c r="U5" s="6">
        <f>0.005+0.92949</f>
        <v>0.93449000000000004</v>
      </c>
      <c r="V5" s="6">
        <f>0.005+0.92125</f>
        <v>0.92625000000000002</v>
      </c>
      <c r="W5" s="6">
        <f>0.005+0.95893</f>
        <v>0.96392999999999995</v>
      </c>
      <c r="X5" s="6">
        <f>0.005+1.067</f>
        <v>1.0719999999999998</v>
      </c>
      <c r="Y5" s="6">
        <f>0.005+1.138</f>
        <v>1.1429999999999998</v>
      </c>
      <c r="Z5" s="6">
        <f>0.005+1.089</f>
        <v>1.0939999999999999</v>
      </c>
      <c r="AA5" s="6">
        <f>0.005+1.0215</f>
        <v>1.0265</v>
      </c>
      <c r="AB5" s="22">
        <f>0.005+0.96641</f>
        <v>0.97141</v>
      </c>
      <c r="AC5" s="6">
        <f>0.005+0.96641</f>
        <v>0.97141</v>
      </c>
      <c r="AD5" s="6">
        <f>0.005+0.98213</f>
        <v>0.98712999999999995</v>
      </c>
      <c r="AE5" s="6">
        <f>0.005+1.03565</f>
        <v>1.0406499999999999</v>
      </c>
      <c r="AF5" s="6">
        <f>0.005+1.01248</f>
        <v>1.0174799999999999</v>
      </c>
      <c r="AG5" s="6">
        <f>0.005+1.00457</f>
        <v>1.0095699999999999</v>
      </c>
      <c r="AH5" s="6">
        <f>0.005+0.95153</f>
        <v>0.95652999999999999</v>
      </c>
      <c r="AI5" s="20">
        <f>0.005+0.959</f>
        <v>0.96399999999999997</v>
      </c>
      <c r="AJ5" s="20">
        <f>0.005+0.96</f>
        <v>0.96499999999999997</v>
      </c>
      <c r="AK5" s="20">
        <f>0.005+0.90658</f>
        <v>0.91158000000000006</v>
      </c>
      <c r="AL5" s="25">
        <f>0.005+0.85993</f>
        <v>0.86492999999999998</v>
      </c>
      <c r="AM5" s="20">
        <f>0.005+0.88238</f>
        <v>0.88738000000000006</v>
      </c>
      <c r="AN5" s="20">
        <f>0.005+0.90061</f>
        <v>0.90561000000000003</v>
      </c>
      <c r="AO5" s="20">
        <f>0.005+0.90643</f>
        <v>0.91142999999999996</v>
      </c>
      <c r="AP5" s="20">
        <f>0.005+0.90643</f>
        <v>0.91142999999999996</v>
      </c>
      <c r="AQ5" s="20">
        <f>0.005+1.02082</f>
        <v>1.02582</v>
      </c>
      <c r="AR5" s="20">
        <f>0.005+1.01211</f>
        <v>1.01711</v>
      </c>
      <c r="AS5" s="20">
        <f>0.005+0.95492</f>
        <v>0.95992</v>
      </c>
      <c r="AT5" s="20">
        <f>0.005+0.89883</f>
        <v>0.90383000000000002</v>
      </c>
      <c r="AU5" s="20">
        <f>0.005+0.88791</f>
        <v>0.89290999999999998</v>
      </c>
      <c r="AV5" s="25">
        <f>0.005+0.93152</f>
        <v>0.93652000000000002</v>
      </c>
      <c r="AW5" s="25">
        <f>0.005+0.96152</f>
        <v>0.96652000000000005</v>
      </c>
      <c r="AX5" s="25">
        <f>0.005+0.91773</f>
        <v>0.92273000000000005</v>
      </c>
      <c r="AY5" s="25">
        <f>0.005+0.9385</f>
        <v>0.94350000000000001</v>
      </c>
      <c r="AZ5" s="25">
        <f>0.005+0.92381</f>
        <v>0.92881000000000002</v>
      </c>
      <c r="BA5" s="25">
        <f>0.005+0.9733</f>
        <v>0.97830000000000006</v>
      </c>
      <c r="BB5" s="6">
        <f>0.005+0.89387</f>
        <v>0.89887000000000006</v>
      </c>
      <c r="BC5" s="6">
        <f>0.005+0.89387</f>
        <v>0.89887000000000006</v>
      </c>
      <c r="BD5" s="6">
        <f>0.005+0.90297</f>
        <v>0.90797000000000005</v>
      </c>
      <c r="BE5" s="6">
        <f>0.005+0.886</f>
        <v>0.89100000000000001</v>
      </c>
      <c r="BF5" s="6">
        <f>0.005+1.29668</f>
        <v>1.3016799999999999</v>
      </c>
      <c r="BG5" s="6">
        <f>0.005+1.32115</f>
        <v>1.3261499999999999</v>
      </c>
      <c r="BH5" s="6">
        <f>0.005+1.2374</f>
        <v>1.2423999999999999</v>
      </c>
      <c r="BI5" s="6">
        <f>0.005+1.10189</f>
        <v>1.1068899999999999</v>
      </c>
    </row>
    <row r="6" spans="2:61" ht="12.75" customHeight="1" x14ac:dyDescent="0.2">
      <c r="B6" s="5" t="s">
        <v>1</v>
      </c>
      <c r="C6" s="6">
        <v>0.10199999999999999</v>
      </c>
      <c r="D6" s="6">
        <v>0.10199999999999999</v>
      </c>
      <c r="E6" s="6">
        <v>0.10199999999999999</v>
      </c>
      <c r="F6" s="6">
        <v>0.10199999999999999</v>
      </c>
      <c r="G6" s="6">
        <v>0.10199999999999999</v>
      </c>
      <c r="H6" s="6">
        <v>0.10199999999999999</v>
      </c>
      <c r="I6" s="6">
        <v>0.10199999999999999</v>
      </c>
      <c r="J6" s="6">
        <v>0.10199999999999999</v>
      </c>
      <c r="K6" s="6">
        <v>0.10199999999999999</v>
      </c>
      <c r="L6" s="6">
        <v>0.10199999999999999</v>
      </c>
      <c r="M6" s="6">
        <v>0.10199999999999999</v>
      </c>
      <c r="N6" s="6">
        <v>0.10199999999999999</v>
      </c>
      <c r="O6" s="6">
        <v>0.10199999999999999</v>
      </c>
      <c r="P6" s="6">
        <v>0.108</v>
      </c>
      <c r="Q6" s="6">
        <v>0.108</v>
      </c>
      <c r="R6" s="6">
        <v>0.11</v>
      </c>
      <c r="S6" s="6">
        <v>0.11</v>
      </c>
      <c r="T6" s="6">
        <v>0.11</v>
      </c>
      <c r="U6" s="6">
        <v>0.11</v>
      </c>
      <c r="V6" s="6">
        <v>0.11</v>
      </c>
      <c r="W6" s="6">
        <v>0.11</v>
      </c>
      <c r="X6" s="6">
        <v>0.11</v>
      </c>
      <c r="Y6" s="6">
        <v>0.11</v>
      </c>
      <c r="Z6" s="6">
        <v>0.11</v>
      </c>
      <c r="AA6" s="6">
        <v>0.11</v>
      </c>
      <c r="AB6" s="22">
        <v>0.11</v>
      </c>
      <c r="AC6" s="6">
        <v>0.114</v>
      </c>
      <c r="AD6" s="6">
        <v>0.114</v>
      </c>
      <c r="AE6" s="6">
        <v>0.114</v>
      </c>
      <c r="AF6" s="6">
        <v>0.114</v>
      </c>
      <c r="AG6" s="6">
        <v>0.114</v>
      </c>
      <c r="AH6" s="6">
        <v>0.114</v>
      </c>
      <c r="AI6" s="20">
        <v>0.114</v>
      </c>
      <c r="AJ6" s="20">
        <v>0.114</v>
      </c>
      <c r="AK6" s="20">
        <v>0.114</v>
      </c>
      <c r="AL6" s="25">
        <v>0.114</v>
      </c>
      <c r="AM6" s="20">
        <v>0.114</v>
      </c>
      <c r="AN6" s="20">
        <v>0.114</v>
      </c>
      <c r="AO6" s="20">
        <v>0.114</v>
      </c>
      <c r="AP6" s="20">
        <v>0.11600000000000001</v>
      </c>
      <c r="AQ6" s="20">
        <v>0.11600000000000001</v>
      </c>
      <c r="AR6" s="20">
        <v>0.11600000000000001</v>
      </c>
      <c r="AS6" s="20">
        <v>0.11600000000000001</v>
      </c>
      <c r="AT6" s="20">
        <v>0.11600000000000001</v>
      </c>
      <c r="AU6" s="20">
        <v>0.11600000000000001</v>
      </c>
      <c r="AV6" s="25">
        <v>0.11600000000000001</v>
      </c>
      <c r="AW6" s="25">
        <v>0.11600000000000001</v>
      </c>
      <c r="AX6" s="25">
        <v>0.11600000000000001</v>
      </c>
      <c r="AY6" s="25">
        <v>0.11600000000000001</v>
      </c>
      <c r="AZ6" s="25">
        <v>0.11600000000000001</v>
      </c>
      <c r="BA6" s="25">
        <v>0.11600000000000001</v>
      </c>
      <c r="BB6" s="6">
        <v>0.11600000000000001</v>
      </c>
      <c r="BC6" s="6">
        <v>0.121</v>
      </c>
      <c r="BD6" s="6">
        <v>0.121</v>
      </c>
      <c r="BE6" s="6">
        <v>0.121</v>
      </c>
      <c r="BF6" s="6">
        <v>0.121</v>
      </c>
      <c r="BG6" s="6">
        <v>0.121</v>
      </c>
      <c r="BH6" s="6">
        <v>0.121</v>
      </c>
      <c r="BI6" s="6">
        <v>0.121</v>
      </c>
    </row>
    <row r="7" spans="2:61" ht="12.75" customHeight="1" x14ac:dyDescent="0.2">
      <c r="B7" s="5" t="s">
        <v>2</v>
      </c>
      <c r="C7" s="6">
        <v>0.04</v>
      </c>
      <c r="D7" s="6">
        <v>0.04</v>
      </c>
      <c r="E7" s="6">
        <v>0.04</v>
      </c>
      <c r="F7" s="6">
        <v>0.04</v>
      </c>
      <c r="G7" s="6">
        <v>0.04</v>
      </c>
      <c r="H7" s="6">
        <v>0.04</v>
      </c>
      <c r="I7" s="6">
        <v>0.04</v>
      </c>
      <c r="J7" s="6">
        <v>0.04</v>
      </c>
      <c r="K7" s="6">
        <v>0.04</v>
      </c>
      <c r="L7" s="6">
        <v>0.04</v>
      </c>
      <c r="M7" s="6">
        <v>0.04</v>
      </c>
      <c r="N7" s="6">
        <v>0.04</v>
      </c>
      <c r="O7" s="6">
        <v>0.04</v>
      </c>
      <c r="P7" s="6">
        <v>3.9E-2</v>
      </c>
      <c r="Q7" s="6">
        <v>3.9E-2</v>
      </c>
      <c r="R7" s="6">
        <v>3.9E-2</v>
      </c>
      <c r="S7" s="6">
        <v>3.9E-2</v>
      </c>
      <c r="T7" s="6">
        <v>3.9E-2</v>
      </c>
      <c r="U7" s="6">
        <v>3.9E-2</v>
      </c>
      <c r="V7" s="6">
        <v>3.9E-2</v>
      </c>
      <c r="W7" s="6">
        <v>3.9E-2</v>
      </c>
      <c r="X7" s="6">
        <v>3.9E-2</v>
      </c>
      <c r="Y7" s="6">
        <v>3.9E-2</v>
      </c>
      <c r="Z7" s="6">
        <v>3.9E-2</v>
      </c>
      <c r="AA7" s="6">
        <v>3.9E-2</v>
      </c>
      <c r="AB7" s="22">
        <v>3.9E-2</v>
      </c>
      <c r="AC7" s="6">
        <v>4.1000000000000002E-2</v>
      </c>
      <c r="AD7" s="6">
        <v>4.1000000000000002E-2</v>
      </c>
      <c r="AE7" s="6">
        <v>4.1000000000000002E-2</v>
      </c>
      <c r="AF7" s="6">
        <v>4.1000000000000002E-2</v>
      </c>
      <c r="AG7" s="6">
        <v>4.1000000000000002E-2</v>
      </c>
      <c r="AH7" s="6">
        <v>4.1000000000000002E-2</v>
      </c>
      <c r="AI7" s="20">
        <v>4.1000000000000002E-2</v>
      </c>
      <c r="AJ7" s="20">
        <v>4.1000000000000002E-2</v>
      </c>
      <c r="AK7" s="20">
        <v>4.1000000000000002E-2</v>
      </c>
      <c r="AL7" s="25">
        <v>4.1000000000000002E-2</v>
      </c>
      <c r="AM7" s="20">
        <v>4.1000000000000002E-2</v>
      </c>
      <c r="AN7" s="20">
        <v>4.1000000000000002E-2</v>
      </c>
      <c r="AO7" s="20">
        <v>4.1000000000000002E-2</v>
      </c>
      <c r="AP7" s="20">
        <v>4.1000000000000002E-2</v>
      </c>
      <c r="AQ7" s="20">
        <v>4.1000000000000002E-2</v>
      </c>
      <c r="AR7" s="20">
        <v>4.1000000000000002E-2</v>
      </c>
      <c r="AS7" s="20">
        <v>4.1000000000000002E-2</v>
      </c>
      <c r="AT7" s="20">
        <v>4.1000000000000002E-2</v>
      </c>
      <c r="AU7" s="20">
        <v>4.1000000000000002E-2</v>
      </c>
      <c r="AV7" s="25">
        <v>4.1000000000000002E-2</v>
      </c>
      <c r="AW7" s="25">
        <v>4.1000000000000002E-2</v>
      </c>
      <c r="AX7" s="25">
        <v>4.1000000000000002E-2</v>
      </c>
      <c r="AY7" s="25">
        <v>4.1000000000000002E-2</v>
      </c>
      <c r="AZ7" s="25">
        <v>4.1000000000000002E-2</v>
      </c>
      <c r="BA7" s="25">
        <v>4.1000000000000002E-2</v>
      </c>
      <c r="BB7" s="6">
        <v>4.1000000000000002E-2</v>
      </c>
      <c r="BC7" s="6">
        <v>4.3999999999999997E-2</v>
      </c>
      <c r="BD7" s="6">
        <v>4.3999999999999997E-2</v>
      </c>
      <c r="BE7" s="6">
        <v>4.3999999999999997E-2</v>
      </c>
      <c r="BF7" s="6">
        <v>4.3999999999999997E-2</v>
      </c>
      <c r="BG7" s="6">
        <v>4.3999999999999997E-2</v>
      </c>
      <c r="BH7" s="6">
        <v>4.3999999999999997E-2</v>
      </c>
      <c r="BI7" s="6">
        <v>4.3999999999999997E-2</v>
      </c>
    </row>
    <row r="8" spans="2:61" ht="12.75" customHeight="1" x14ac:dyDescent="0.2">
      <c r="AB8" s="23"/>
      <c r="AI8" s="21"/>
      <c r="AJ8" s="21"/>
      <c r="AK8" s="21"/>
      <c r="AL8" s="26"/>
      <c r="AM8" s="21"/>
      <c r="AN8" s="21"/>
      <c r="AO8" s="21"/>
      <c r="AP8" s="21"/>
      <c r="AQ8" s="21"/>
      <c r="AR8" s="21"/>
      <c r="AS8" s="21"/>
      <c r="AT8" s="21"/>
      <c r="AU8" s="21"/>
      <c r="AV8" s="26"/>
      <c r="AW8" s="26"/>
      <c r="AX8" s="26"/>
      <c r="AY8" s="26"/>
      <c r="AZ8" s="26"/>
      <c r="BA8" s="26"/>
    </row>
    <row r="9" spans="2:61" ht="12.75" customHeight="1" x14ac:dyDescent="0.2">
      <c r="B9" s="7" t="s">
        <v>3</v>
      </c>
      <c r="C9" s="6">
        <f>C5+C6+C7</f>
        <v>0.97433000000000003</v>
      </c>
      <c r="D9" s="6">
        <f>D5+D6+D7</f>
        <v>1.0680000000000001</v>
      </c>
      <c r="E9" s="6">
        <f>E5+E6+E7</f>
        <v>1.05467</v>
      </c>
      <c r="F9" s="6">
        <f t="shared" ref="F9:O9" si="1">F5+F6+F7</f>
        <v>1.30074</v>
      </c>
      <c r="G9" s="6">
        <f t="shared" si="1"/>
        <v>1.28108</v>
      </c>
      <c r="H9" s="6">
        <f t="shared" si="1"/>
        <v>1.29704</v>
      </c>
      <c r="I9" s="6">
        <f>I5+I6+I7</f>
        <v>1.50621</v>
      </c>
      <c r="J9" s="6">
        <f t="shared" si="1"/>
        <v>1.36226</v>
      </c>
      <c r="K9" s="6">
        <f t="shared" si="1"/>
        <v>1.29392</v>
      </c>
      <c r="L9" s="6">
        <f t="shared" si="1"/>
        <v>1.28284</v>
      </c>
      <c r="M9" s="6">
        <f t="shared" si="1"/>
        <v>1.3242400000000001</v>
      </c>
      <c r="N9" s="6">
        <f t="shared" si="1"/>
        <v>1.25258</v>
      </c>
      <c r="O9" s="6">
        <f t="shared" si="1"/>
        <v>1.2527360000000001</v>
      </c>
      <c r="P9" s="6">
        <f t="shared" ref="P9:Q9" si="2">P5+P6+P7</f>
        <v>1.257736</v>
      </c>
      <c r="Q9" s="6">
        <f t="shared" si="2"/>
        <v>1.2874599999999998</v>
      </c>
      <c r="R9" s="6">
        <f t="shared" ref="R9:S9" si="3">R5+R6+R7</f>
        <v>1.2146999999999999</v>
      </c>
      <c r="S9" s="6">
        <f t="shared" si="3"/>
        <v>1.1916599999999999</v>
      </c>
      <c r="T9" s="6">
        <f t="shared" ref="T9:U9" si="4">T5+T6+T7</f>
        <v>1.13951</v>
      </c>
      <c r="U9" s="6">
        <f t="shared" si="4"/>
        <v>1.0834900000000001</v>
      </c>
      <c r="V9" s="6">
        <f t="shared" ref="V9:W9" si="5">V5+V6+V7</f>
        <v>1.07525</v>
      </c>
      <c r="W9" s="6">
        <f t="shared" si="5"/>
        <v>1.11293</v>
      </c>
      <c r="X9" s="6">
        <f t="shared" ref="X9:Y9" si="6">X5+X6+X7</f>
        <v>1.2209999999999999</v>
      </c>
      <c r="Y9" s="6">
        <f t="shared" si="6"/>
        <v>1.2919999999999998</v>
      </c>
      <c r="Z9" s="6">
        <f t="shared" ref="Z9:AA9" si="7">Z5+Z6+Z7</f>
        <v>1.2429999999999999</v>
      </c>
      <c r="AA9" s="6">
        <f t="shared" si="7"/>
        <v>1.1755</v>
      </c>
      <c r="AB9" s="22">
        <f t="shared" ref="AB9:AC9" si="8">AB5+AB6+AB7</f>
        <v>1.1204099999999999</v>
      </c>
      <c r="AC9" s="6">
        <f t="shared" si="8"/>
        <v>1.1264099999999999</v>
      </c>
      <c r="AD9" s="6">
        <f t="shared" ref="AD9:AE9" si="9">AD5+AD6+AD7</f>
        <v>1.1421299999999999</v>
      </c>
      <c r="AE9" s="6">
        <f t="shared" si="9"/>
        <v>1.1956499999999999</v>
      </c>
      <c r="AF9" s="6">
        <f t="shared" ref="AF9:AG9" si="10">AF5+AF6+AF7</f>
        <v>1.17248</v>
      </c>
      <c r="AG9" s="6">
        <f t="shared" si="10"/>
        <v>1.1645699999999999</v>
      </c>
      <c r="AH9" s="6">
        <f t="shared" ref="AH9:AI9" si="11">AH5+AH6+AH7</f>
        <v>1.1115299999999999</v>
      </c>
      <c r="AI9" s="20">
        <f t="shared" si="11"/>
        <v>1.119</v>
      </c>
      <c r="AJ9" s="20">
        <f t="shared" ref="AJ9:AK9" si="12">AJ5+AJ6+AJ7</f>
        <v>1.1199999999999999</v>
      </c>
      <c r="AK9" s="20">
        <f t="shared" si="12"/>
        <v>1.0665800000000001</v>
      </c>
      <c r="AL9" s="25">
        <f t="shared" ref="AL9:AM9" si="13">AL5+AL6+AL7</f>
        <v>1.01993</v>
      </c>
      <c r="AM9" s="20">
        <f t="shared" si="13"/>
        <v>1.0423800000000001</v>
      </c>
      <c r="AN9" s="20">
        <f t="shared" ref="AN9:AO9" si="14">AN5+AN6+AN7</f>
        <v>1.0606100000000001</v>
      </c>
      <c r="AO9" s="20">
        <f t="shared" si="14"/>
        <v>1.06643</v>
      </c>
      <c r="AP9" s="20">
        <f t="shared" ref="AP9:AQ9" si="15">AP5+AP6+AP7</f>
        <v>1.06843</v>
      </c>
      <c r="AQ9" s="20">
        <f t="shared" si="15"/>
        <v>1.18282</v>
      </c>
      <c r="AR9" s="20">
        <f t="shared" ref="AR9:AS9" si="16">AR5+AR6+AR7</f>
        <v>1.17411</v>
      </c>
      <c r="AS9" s="20">
        <f t="shared" si="16"/>
        <v>1.1169199999999999</v>
      </c>
      <c r="AT9" s="20">
        <f t="shared" ref="AT9:AU9" si="17">AT5+AT6+AT7</f>
        <v>1.0608299999999999</v>
      </c>
      <c r="AU9" s="20">
        <f t="shared" si="17"/>
        <v>1.0499099999999999</v>
      </c>
      <c r="AV9" s="25">
        <f t="shared" ref="AV9:AW9" si="18">AV5+AV6+AV7</f>
        <v>1.09352</v>
      </c>
      <c r="AW9" s="25">
        <f t="shared" si="18"/>
        <v>1.1235200000000001</v>
      </c>
      <c r="AX9" s="25">
        <f t="shared" ref="AX9:AY9" si="19">AX5+AX6+AX7</f>
        <v>1.0797300000000001</v>
      </c>
      <c r="AY9" s="25">
        <f t="shared" si="19"/>
        <v>1.1005</v>
      </c>
      <c r="AZ9" s="25">
        <f t="shared" ref="AZ9:BC9" si="20">AZ5+AZ6+AZ7</f>
        <v>1.0858099999999999</v>
      </c>
      <c r="BA9" s="25">
        <f t="shared" si="20"/>
        <v>1.1353</v>
      </c>
      <c r="BB9" s="6">
        <f t="shared" si="20"/>
        <v>1.0558700000000001</v>
      </c>
      <c r="BC9" s="6">
        <f t="shared" si="20"/>
        <v>1.0638700000000001</v>
      </c>
      <c r="BD9" s="6">
        <f t="shared" ref="BD9:BE9" si="21">BD5+BD6+BD7</f>
        <v>1.0729700000000002</v>
      </c>
      <c r="BE9" s="6">
        <f t="shared" si="21"/>
        <v>1.056</v>
      </c>
      <c r="BF9" s="6">
        <f t="shared" ref="BF9:BG9" si="22">BF5+BF6+BF7</f>
        <v>1.46668</v>
      </c>
      <c r="BG9" s="6">
        <f t="shared" si="22"/>
        <v>1.49115</v>
      </c>
      <c r="BH9" s="6">
        <f t="shared" ref="BH9:BI9" si="23">BH5+BH6+BH7</f>
        <v>1.4074</v>
      </c>
      <c r="BI9" s="6">
        <f t="shared" si="23"/>
        <v>1.27189</v>
      </c>
    </row>
    <row r="11" spans="2:61" ht="12.75" customHeight="1" x14ac:dyDescent="0.2">
      <c r="D11" s="17">
        <f>D5-0.05</f>
        <v>0.876</v>
      </c>
      <c r="E11" s="17">
        <f t="shared" ref="E11:T11" si="24">E5-0.05</f>
        <v>0.86266999999999994</v>
      </c>
      <c r="F11" s="17">
        <f t="shared" si="24"/>
        <v>1.1087399999999998</v>
      </c>
      <c r="G11" s="17">
        <f t="shared" si="24"/>
        <v>1.0890799999999998</v>
      </c>
      <c r="H11" s="17">
        <f t="shared" si="24"/>
        <v>1.1050399999999998</v>
      </c>
      <c r="I11" s="17">
        <f t="shared" si="24"/>
        <v>1.3142099999999999</v>
      </c>
      <c r="J11" s="17">
        <f t="shared" si="24"/>
        <v>1.1702599999999999</v>
      </c>
      <c r="K11" s="17">
        <f t="shared" si="24"/>
        <v>1.1019199999999998</v>
      </c>
      <c r="L11" s="17">
        <f t="shared" si="24"/>
        <v>1.0908399999999998</v>
      </c>
      <c r="M11" s="17">
        <f t="shared" si="24"/>
        <v>1.1322399999999999</v>
      </c>
      <c r="N11" s="17">
        <f t="shared" si="24"/>
        <v>1.0605799999999999</v>
      </c>
      <c r="O11" s="17">
        <f t="shared" si="24"/>
        <v>1.0607359999999999</v>
      </c>
      <c r="P11" s="17">
        <f t="shared" si="24"/>
        <v>1.0607359999999999</v>
      </c>
      <c r="Q11" s="17">
        <f t="shared" si="24"/>
        <v>1.0904599999999998</v>
      </c>
      <c r="R11" s="17">
        <f t="shared" si="24"/>
        <v>1.0156999999999998</v>
      </c>
      <c r="S11" s="17">
        <f t="shared" si="24"/>
        <v>0.99265999999999988</v>
      </c>
      <c r="T11" s="17">
        <f t="shared" si="24"/>
        <v>0.94050999999999996</v>
      </c>
    </row>
    <row r="12" spans="2:61" x14ac:dyDescent="0.2"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2:61" x14ac:dyDescent="0.2">
      <c r="D13" s="19">
        <f>D11/'Tarif gazole B7 ORC en cours'!D10-1</f>
        <v>3.5289668376391692E-2</v>
      </c>
      <c r="E13" s="19">
        <f>E11/'Tarif gazole B7 ORC en cours'!E10-1</f>
        <v>-4.7688961992338852E-2</v>
      </c>
      <c r="F13" s="19">
        <f>F11/'Tarif gazole B7 ORC en cours'!F10-1</f>
        <v>-3.9003588330126515E-2</v>
      </c>
      <c r="G13" s="19">
        <f>G11/'Tarif gazole B7 ORC en cours'!G10-1</f>
        <v>8.366169154228853E-2</v>
      </c>
      <c r="H13" s="19">
        <f>H11/'Tarif gazole B7 ORC en cours'!H10-1</f>
        <v>6.6270407966343647E-2</v>
      </c>
      <c r="I13" s="19">
        <f>I11/'Tarif gazole B7 ORC en cours'!I10-1</f>
        <v>7.0866334213356641E-2</v>
      </c>
      <c r="J13" s="19">
        <f>J11/'Tarif gazole B7 ORC en cours'!J10-1</f>
        <v>6.0123744213644414E-2</v>
      </c>
      <c r="K13" s="19">
        <f>K11/'Tarif gazole B7 ORC en cours'!K10-1</f>
        <v>5.8876663623696368E-2</v>
      </c>
      <c r="L13" s="19">
        <f>L11/'Tarif gazole B7 ORC en cours'!L10-1</f>
        <v>0.18118915875301811</v>
      </c>
      <c r="M13" s="19">
        <f>M11/'Tarif gazole B7 ORC en cours'!M10-1</f>
        <v>6.5056251646160135E-2</v>
      </c>
      <c r="N13" s="19">
        <f>N11/'Tarif gazole B7 ORC en cours'!N10-1</f>
        <v>8.1562308790536164E-2</v>
      </c>
      <c r="O13" s="19">
        <f>O11/'Tarif gazole B7 ORC en cours'!O10-1</f>
        <v>0.13695764019893653</v>
      </c>
      <c r="P13" s="19">
        <f>P11/'Tarif gazole B7 ORC en cours'!P10-1</f>
        <v>0.13695764019893653</v>
      </c>
      <c r="Q13" s="19">
        <f>Q11/'Tarif gazole B7 ORC en cours'!Q10-1</f>
        <v>6.7195145821099755E-2</v>
      </c>
      <c r="R13" s="19">
        <f>R11/'Tarif gazole B7 ORC en cours'!R10-1</f>
        <v>8.347111845965105E-2</v>
      </c>
      <c r="S13" s="19">
        <f>S11/'Tarif gazole B7 ORC en cours'!S10-1</f>
        <v>8.0340429236863686E-2</v>
      </c>
      <c r="T13" s="19">
        <f>T11/'Tarif gazole B7 ORC en cours'!T10-1</f>
        <v>8.0623664315095267E-2</v>
      </c>
    </row>
  </sheetData>
  <mergeCells count="1">
    <mergeCell ref="B2:O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>
    <oddFooter>&amp;L&amp;1#&amp;"Calibri"&amp;10&amp;K008000Interne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19"/>
  <sheetViews>
    <sheetView topLeftCell="AZ10" workbookViewId="0">
      <selection activeCell="H24" sqref="H24"/>
    </sheetView>
  </sheetViews>
  <sheetFormatPr baseColWidth="10" defaultRowHeight="12.75" x14ac:dyDescent="0.2"/>
  <cols>
    <col min="1" max="1" width="3.140625" customWidth="1"/>
    <col min="2" max="2" width="36.28515625" bestFit="1" customWidth="1"/>
    <col min="3" max="14" width="8.7109375" customWidth="1"/>
    <col min="15" max="27" width="8.7109375" hidden="1" customWidth="1"/>
    <col min="28" max="51" width="11.140625" hidden="1" customWidth="1"/>
    <col min="53" max="53" width="11.140625" customWidth="1"/>
    <col min="63" max="63" width="14.140625" customWidth="1"/>
    <col min="66" max="66" width="13.28515625" customWidth="1"/>
    <col min="67" max="67" width="18.42578125" customWidth="1"/>
  </cols>
  <sheetData>
    <row r="1" spans="1:79" x14ac:dyDescent="0.2">
      <c r="B1" s="1" t="s">
        <v>29</v>
      </c>
    </row>
    <row r="2" spans="1:79" x14ac:dyDescent="0.2">
      <c r="A2" s="2"/>
      <c r="C2" s="28" t="s">
        <v>5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4"/>
      <c r="P2" s="35" t="s">
        <v>6</v>
      </c>
      <c r="Q2" s="36"/>
      <c r="R2" s="36"/>
      <c r="S2" s="36"/>
      <c r="T2" s="36"/>
      <c r="U2" s="36"/>
      <c r="V2" s="36"/>
      <c r="W2" s="36"/>
      <c r="X2" s="36"/>
      <c r="Y2" s="37"/>
    </row>
    <row r="3" spans="1:79" s="3" customFormat="1" ht="20.25" customHeight="1" x14ac:dyDescent="0.2">
      <c r="B3" s="9" t="s">
        <v>4</v>
      </c>
      <c r="C3" s="8">
        <v>42339</v>
      </c>
      <c r="D3" s="8">
        <f>+C3+31</f>
        <v>42370</v>
      </c>
      <c r="E3" s="8">
        <f t="shared" ref="E3:Y3" si="0">+D3+31</f>
        <v>42401</v>
      </c>
      <c r="F3" s="8">
        <f t="shared" si="0"/>
        <v>42432</v>
      </c>
      <c r="G3" s="8">
        <f t="shared" si="0"/>
        <v>42463</v>
      </c>
      <c r="H3" s="8">
        <f t="shared" si="0"/>
        <v>42494</v>
      </c>
      <c r="I3" s="8">
        <f t="shared" si="0"/>
        <v>42525</v>
      </c>
      <c r="J3" s="8">
        <f t="shared" si="0"/>
        <v>42556</v>
      </c>
      <c r="K3" s="8">
        <f t="shared" si="0"/>
        <v>42587</v>
      </c>
      <c r="L3" s="8">
        <f t="shared" si="0"/>
        <v>42618</v>
      </c>
      <c r="M3" s="8">
        <f t="shared" si="0"/>
        <v>42649</v>
      </c>
      <c r="N3" s="8">
        <f t="shared" si="0"/>
        <v>42680</v>
      </c>
      <c r="O3" s="8">
        <f t="shared" si="0"/>
        <v>42711</v>
      </c>
      <c r="P3" s="10">
        <f t="shared" si="0"/>
        <v>42742</v>
      </c>
      <c r="Q3" s="10">
        <f t="shared" si="0"/>
        <v>42773</v>
      </c>
      <c r="R3" s="10">
        <f t="shared" si="0"/>
        <v>42804</v>
      </c>
      <c r="S3" s="10">
        <f t="shared" si="0"/>
        <v>42835</v>
      </c>
      <c r="T3" s="10">
        <f t="shared" si="0"/>
        <v>42866</v>
      </c>
      <c r="U3" s="10">
        <f t="shared" si="0"/>
        <v>42897</v>
      </c>
      <c r="V3" s="10">
        <f t="shared" si="0"/>
        <v>42928</v>
      </c>
      <c r="W3" s="10">
        <f t="shared" si="0"/>
        <v>42959</v>
      </c>
      <c r="X3" s="10">
        <f t="shared" si="0"/>
        <v>42990</v>
      </c>
      <c r="Y3" s="10">
        <f t="shared" si="0"/>
        <v>43021</v>
      </c>
    </row>
    <row r="4" spans="1:79" s="4" customFormat="1" ht="15" customHeight="1" x14ac:dyDescent="0.2">
      <c r="B4" s="5" t="s">
        <v>0</v>
      </c>
      <c r="C4" s="6">
        <v>0.44600000000000001</v>
      </c>
      <c r="D4" s="6">
        <v>0.436</v>
      </c>
      <c r="E4" s="6">
        <v>0.443</v>
      </c>
      <c r="F4" s="6">
        <v>0.47836977074165221</v>
      </c>
      <c r="G4" s="6">
        <v>0.48399999999999999</v>
      </c>
      <c r="H4" s="6">
        <v>0.52600000000000002</v>
      </c>
      <c r="I4" s="6">
        <v>0.55000000000000004</v>
      </c>
      <c r="J4" s="6">
        <v>0.51700000000000002</v>
      </c>
      <c r="K4" s="6">
        <v>0.51500000000000001</v>
      </c>
      <c r="L4" s="6">
        <v>0.52300000000000002</v>
      </c>
      <c r="M4" s="6">
        <v>0.56599999999999995</v>
      </c>
      <c r="N4" s="6">
        <v>0.54400000000000004</v>
      </c>
      <c r="O4" s="6">
        <v>0.60199999999999998</v>
      </c>
      <c r="P4" s="11">
        <v>0.63800000000000001</v>
      </c>
      <c r="Q4" s="11">
        <v>0.64100000000000001</v>
      </c>
      <c r="R4" s="11">
        <v>0.60599999999999998</v>
      </c>
      <c r="S4" s="11">
        <v>0.61599999999999999</v>
      </c>
      <c r="T4" s="11">
        <v>0.58599999999999997</v>
      </c>
      <c r="U4" s="11">
        <v>0.55700000000000005</v>
      </c>
      <c r="V4" s="11">
        <v>0.56999999999999995</v>
      </c>
      <c r="W4" s="11">
        <v>0.57999999999999996</v>
      </c>
      <c r="X4" s="11">
        <v>0.61</v>
      </c>
      <c r="Y4" s="11">
        <v>0.61699999999999999</v>
      </c>
    </row>
    <row r="5" spans="1:79" ht="12.75" customHeight="1" x14ac:dyDescent="0.2">
      <c r="B5" s="5" t="s">
        <v>1</v>
      </c>
      <c r="C5" s="6">
        <v>7.0000000000000007E-2</v>
      </c>
      <c r="D5" s="6">
        <v>7.0000000000000007E-2</v>
      </c>
      <c r="E5" s="6">
        <v>7.0000000000000007E-2</v>
      </c>
      <c r="F5" s="6">
        <v>7.0000000000000007E-2</v>
      </c>
      <c r="G5" s="6">
        <v>7.0000000000000007E-2</v>
      </c>
      <c r="H5" s="6">
        <v>7.0000000000000007E-2</v>
      </c>
      <c r="I5" s="6">
        <v>7.0000000000000007E-2</v>
      </c>
      <c r="J5" s="6">
        <v>7.0000000000000007E-2</v>
      </c>
      <c r="K5" s="6">
        <v>7.0000000000000007E-2</v>
      </c>
      <c r="L5" s="6">
        <v>7.0000000000000007E-2</v>
      </c>
      <c r="M5" s="6">
        <v>7.0000000000000007E-2</v>
      </c>
      <c r="N5" s="6">
        <v>7.0000000000000007E-2</v>
      </c>
      <c r="O5" s="6">
        <v>7.0000000000000007E-2</v>
      </c>
      <c r="P5" s="11">
        <v>7.0000000000000007E-2</v>
      </c>
      <c r="Q5" s="11">
        <v>7.0000000000000007E-2</v>
      </c>
      <c r="R5" s="11">
        <v>7.0000000000000007E-2</v>
      </c>
      <c r="S5" s="11">
        <v>7.0000000000000007E-2</v>
      </c>
      <c r="T5" s="11">
        <v>7.0000000000000007E-2</v>
      </c>
      <c r="U5" s="11">
        <v>7.0000000000000007E-2</v>
      </c>
      <c r="V5" s="11">
        <v>7.0000000000000007E-2</v>
      </c>
      <c r="W5" s="11">
        <v>7.0000000000000007E-2</v>
      </c>
      <c r="X5" s="11">
        <v>7.0000000000000007E-2</v>
      </c>
      <c r="Y5" s="11">
        <v>7.0000000000000007E-2</v>
      </c>
    </row>
    <row r="6" spans="1:79" ht="12.75" customHeight="1" x14ac:dyDescent="0.2">
      <c r="B6" s="5" t="s">
        <v>2</v>
      </c>
      <c r="C6" s="6">
        <v>8.5999999999999993E-2</v>
      </c>
      <c r="D6" s="6">
        <v>8.5999999999999993E-2</v>
      </c>
      <c r="E6" s="6">
        <v>8.5999999999999993E-2</v>
      </c>
      <c r="F6" s="6">
        <v>8.5999999999999993E-2</v>
      </c>
      <c r="G6" s="6">
        <v>8.5999999999999993E-2</v>
      </c>
      <c r="H6" s="6">
        <v>8.5999999999999993E-2</v>
      </c>
      <c r="I6" s="6">
        <v>8.5999999999999993E-2</v>
      </c>
      <c r="J6" s="6">
        <v>8.5999999999999993E-2</v>
      </c>
      <c r="K6" s="6">
        <v>8.5999999999999993E-2</v>
      </c>
      <c r="L6" s="6">
        <v>8.5999999999999993E-2</v>
      </c>
      <c r="M6" s="6">
        <v>8.5999999999999993E-2</v>
      </c>
      <c r="N6" s="6">
        <v>8.5999999999999993E-2</v>
      </c>
      <c r="O6" s="6">
        <v>8.5999999999999993E-2</v>
      </c>
      <c r="P6" s="11">
        <v>8.5999999999999993E-2</v>
      </c>
      <c r="Q6" s="11">
        <v>8.5999999999999993E-2</v>
      </c>
      <c r="R6" s="11">
        <v>8.5999999999999993E-2</v>
      </c>
      <c r="S6" s="11">
        <v>8.5999999999999993E-2</v>
      </c>
      <c r="T6" s="11">
        <v>8.5999999999999993E-2</v>
      </c>
      <c r="U6" s="11">
        <v>8.5999999999999993E-2</v>
      </c>
      <c r="V6" s="11">
        <v>8.5999999999999993E-2</v>
      </c>
      <c r="W6" s="11">
        <v>8.5999999999999993E-2</v>
      </c>
      <c r="X6" s="11">
        <v>8.5999999999999993E-2</v>
      </c>
      <c r="Y6" s="11">
        <v>8.5999999999999993E-2</v>
      </c>
    </row>
    <row r="7" spans="1:79" ht="12.75" customHeight="1" x14ac:dyDescent="0.2"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79" ht="12.75" customHeight="1" x14ac:dyDescent="0.25">
      <c r="B8" s="7" t="s">
        <v>3</v>
      </c>
      <c r="C8" s="6">
        <f>C4+C5+C6</f>
        <v>0.60199999999999998</v>
      </c>
      <c r="D8" s="6">
        <f>D4+D5+D6</f>
        <v>0.59199999999999997</v>
      </c>
      <c r="E8" s="6">
        <f t="shared" ref="E8:N8" si="1">E4+E5+E6</f>
        <v>0.59899999999999998</v>
      </c>
      <c r="F8" s="6">
        <f t="shared" si="1"/>
        <v>0.63436977074165213</v>
      </c>
      <c r="G8" s="6">
        <f t="shared" si="1"/>
        <v>0.64</v>
      </c>
      <c r="H8" s="6">
        <f t="shared" si="1"/>
        <v>0.68200000000000005</v>
      </c>
      <c r="I8" s="6">
        <f t="shared" si="1"/>
        <v>0.70600000000000007</v>
      </c>
      <c r="J8" s="6">
        <f t="shared" si="1"/>
        <v>0.67299999999999993</v>
      </c>
      <c r="K8" s="6">
        <f t="shared" si="1"/>
        <v>0.67099999999999993</v>
      </c>
      <c r="L8" s="6">
        <f t="shared" si="1"/>
        <v>0.67899999999999994</v>
      </c>
      <c r="M8" s="6">
        <f t="shared" si="1"/>
        <v>0.72199999999999986</v>
      </c>
      <c r="N8" s="6">
        <f t="shared" si="1"/>
        <v>0.70000000000000007</v>
      </c>
      <c r="O8" s="6">
        <f>O4+O5+O6</f>
        <v>0.7579999999999999</v>
      </c>
      <c r="P8" s="11">
        <f t="shared" ref="P8:Y8" si="2">P4+P5+P6</f>
        <v>0.79399999999999993</v>
      </c>
      <c r="Q8" s="11">
        <f t="shared" si="2"/>
        <v>0.79700000000000004</v>
      </c>
      <c r="R8" s="11">
        <f t="shared" si="2"/>
        <v>0.7619999999999999</v>
      </c>
      <c r="S8" s="11">
        <f t="shared" si="2"/>
        <v>0.77199999999999991</v>
      </c>
      <c r="T8" s="11">
        <f t="shared" si="2"/>
        <v>0.74199999999999988</v>
      </c>
      <c r="U8" s="11">
        <f t="shared" si="2"/>
        <v>0.71299999999999997</v>
      </c>
      <c r="V8" s="11">
        <f t="shared" si="2"/>
        <v>0.72599999999999987</v>
      </c>
      <c r="W8" s="11">
        <f t="shared" si="2"/>
        <v>0.73599999999999988</v>
      </c>
      <c r="X8" s="11">
        <f t="shared" si="2"/>
        <v>0.7659999999999999</v>
      </c>
      <c r="Y8" s="11">
        <f t="shared" si="2"/>
        <v>0.77300000000000002</v>
      </c>
      <c r="BL8" s="16"/>
    </row>
    <row r="10" spans="1:79" x14ac:dyDescent="0.2">
      <c r="O10" s="28" t="s">
        <v>8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28" t="s">
        <v>9</v>
      </c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4"/>
      <c r="AO10" s="28" t="s">
        <v>14</v>
      </c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30"/>
    </row>
    <row r="11" spans="1:79" ht="34.5" customHeight="1" x14ac:dyDescent="0.2">
      <c r="B11" s="9" t="s">
        <v>4</v>
      </c>
      <c r="J11" s="33" t="s">
        <v>4</v>
      </c>
      <c r="K11" s="33"/>
      <c r="L11" s="33"/>
      <c r="M11" s="33"/>
      <c r="N11" s="33"/>
      <c r="O11" s="8">
        <v>42705</v>
      </c>
      <c r="P11" s="8">
        <f t="shared" ref="P11:AA11" si="3">+O11+31</f>
        <v>42736</v>
      </c>
      <c r="Q11" s="8">
        <f t="shared" si="3"/>
        <v>42767</v>
      </c>
      <c r="R11" s="8">
        <f t="shared" si="3"/>
        <v>42798</v>
      </c>
      <c r="S11" s="8">
        <f t="shared" si="3"/>
        <v>42829</v>
      </c>
      <c r="T11" s="8">
        <f t="shared" si="3"/>
        <v>42860</v>
      </c>
      <c r="U11" s="8">
        <f t="shared" si="3"/>
        <v>42891</v>
      </c>
      <c r="V11" s="8">
        <f t="shared" si="3"/>
        <v>42922</v>
      </c>
      <c r="W11" s="8">
        <f t="shared" si="3"/>
        <v>42953</v>
      </c>
      <c r="X11" s="8">
        <f t="shared" si="3"/>
        <v>42984</v>
      </c>
      <c r="Y11" s="8">
        <f t="shared" si="3"/>
        <v>43015</v>
      </c>
      <c r="Z11" s="8">
        <f t="shared" si="3"/>
        <v>43046</v>
      </c>
      <c r="AA11" s="8">
        <f t="shared" si="3"/>
        <v>43077</v>
      </c>
      <c r="AB11" s="13" t="s">
        <v>10</v>
      </c>
      <c r="AC11" s="8">
        <f>+AA11+31</f>
        <v>43108</v>
      </c>
      <c r="AD11" s="8">
        <f t="shared" ref="AD11:AN11" si="4">+AC11+31</f>
        <v>43139</v>
      </c>
      <c r="AE11" s="8">
        <f t="shared" si="4"/>
        <v>43170</v>
      </c>
      <c r="AF11" s="8">
        <f t="shared" si="4"/>
        <v>43201</v>
      </c>
      <c r="AG11" s="8">
        <f t="shared" si="4"/>
        <v>43232</v>
      </c>
      <c r="AH11" s="8">
        <f t="shared" si="4"/>
        <v>43263</v>
      </c>
      <c r="AI11" s="8">
        <f t="shared" si="4"/>
        <v>43294</v>
      </c>
      <c r="AJ11" s="8">
        <f t="shared" si="4"/>
        <v>43325</v>
      </c>
      <c r="AK11" s="8">
        <f t="shared" si="4"/>
        <v>43356</v>
      </c>
      <c r="AL11" s="8">
        <f t="shared" si="4"/>
        <v>43387</v>
      </c>
      <c r="AM11" s="8">
        <f t="shared" si="4"/>
        <v>43418</v>
      </c>
      <c r="AN11" s="8">
        <f t="shared" si="4"/>
        <v>43449</v>
      </c>
      <c r="AO11" s="13" t="s">
        <v>11</v>
      </c>
      <c r="AP11" s="8">
        <f>+AN11+31</f>
        <v>43480</v>
      </c>
      <c r="AQ11" s="8">
        <f t="shared" ref="AQ11:BA11" si="5">+AP11+31</f>
        <v>43511</v>
      </c>
      <c r="AR11" s="8">
        <f t="shared" si="5"/>
        <v>43542</v>
      </c>
      <c r="AS11" s="8">
        <f t="shared" si="5"/>
        <v>43573</v>
      </c>
      <c r="AT11" s="8">
        <f t="shared" si="5"/>
        <v>43604</v>
      </c>
      <c r="AU11" s="8">
        <f t="shared" si="5"/>
        <v>43635</v>
      </c>
      <c r="AV11" s="8">
        <f t="shared" si="5"/>
        <v>43666</v>
      </c>
      <c r="AW11" s="8">
        <f t="shared" si="5"/>
        <v>43697</v>
      </c>
      <c r="AX11" s="8">
        <f t="shared" si="5"/>
        <v>43728</v>
      </c>
      <c r="AY11" s="8">
        <f t="shared" si="5"/>
        <v>43759</v>
      </c>
      <c r="AZ11" s="8">
        <f t="shared" si="5"/>
        <v>43790</v>
      </c>
      <c r="BA11" s="8">
        <f t="shared" si="5"/>
        <v>43821</v>
      </c>
      <c r="BB11" s="13" t="s">
        <v>12</v>
      </c>
      <c r="BC11" s="14" t="s">
        <v>13</v>
      </c>
      <c r="BD11" s="14" t="s">
        <v>15</v>
      </c>
      <c r="BE11" s="14" t="s">
        <v>16</v>
      </c>
      <c r="BF11" s="14" t="s">
        <v>17</v>
      </c>
      <c r="BG11" s="14" t="s">
        <v>18</v>
      </c>
      <c r="BH11" s="14" t="s">
        <v>19</v>
      </c>
      <c r="BI11" s="14" t="s">
        <v>20</v>
      </c>
      <c r="BJ11" s="14" t="s">
        <v>21</v>
      </c>
      <c r="BK11" s="14" t="s">
        <v>22</v>
      </c>
      <c r="BL11" s="14" t="s">
        <v>23</v>
      </c>
      <c r="BM11" s="14" t="s">
        <v>24</v>
      </c>
      <c r="BN11" s="14" t="s">
        <v>25</v>
      </c>
      <c r="BO11" s="14" t="s">
        <v>26</v>
      </c>
      <c r="BP11" s="14">
        <v>44197</v>
      </c>
      <c r="BQ11" s="14">
        <v>44228</v>
      </c>
      <c r="BR11" s="14">
        <v>44256</v>
      </c>
      <c r="BS11" s="14">
        <v>44287</v>
      </c>
      <c r="BT11" s="14">
        <v>44317</v>
      </c>
      <c r="BU11" s="14">
        <v>44348</v>
      </c>
      <c r="BV11" s="14">
        <v>44378</v>
      </c>
      <c r="BW11" s="14">
        <v>44409</v>
      </c>
      <c r="BX11" s="14">
        <v>44440</v>
      </c>
      <c r="BY11" s="14">
        <v>44470</v>
      </c>
      <c r="BZ11" s="14">
        <v>44501</v>
      </c>
      <c r="CA11" s="14">
        <v>44531</v>
      </c>
    </row>
    <row r="12" spans="1:79" ht="15" customHeight="1" x14ac:dyDescent="0.2">
      <c r="B12" s="5" t="s">
        <v>0</v>
      </c>
      <c r="J12" s="31" t="s">
        <v>0</v>
      </c>
      <c r="K12" s="31"/>
      <c r="L12" s="31"/>
      <c r="M12" s="31"/>
      <c r="N12" s="31"/>
      <c r="O12" s="6">
        <f>+O4-0.04137+0.027</f>
        <v>0.58762999999999999</v>
      </c>
      <c r="P12" s="6">
        <f t="shared" ref="P12:Y12" si="6">+P4-0.04137+0.027</f>
        <v>0.62363000000000002</v>
      </c>
      <c r="Q12" s="6">
        <f t="shared" si="6"/>
        <v>0.62663000000000002</v>
      </c>
      <c r="R12" s="6">
        <f t="shared" si="6"/>
        <v>0.59162999999999999</v>
      </c>
      <c r="S12" s="6">
        <f t="shared" si="6"/>
        <v>0.60163</v>
      </c>
      <c r="T12" s="6">
        <f t="shared" si="6"/>
        <v>0.57162999999999997</v>
      </c>
      <c r="U12" s="6">
        <f t="shared" si="6"/>
        <v>0.54263000000000006</v>
      </c>
      <c r="V12" s="6">
        <f t="shared" si="6"/>
        <v>0.55562999999999996</v>
      </c>
      <c r="W12" s="6">
        <f t="shared" si="6"/>
        <v>0.56562999999999997</v>
      </c>
      <c r="X12" s="6">
        <f t="shared" si="6"/>
        <v>0.59562999999999999</v>
      </c>
      <c r="Y12" s="6">
        <f t="shared" si="6"/>
        <v>0.60263</v>
      </c>
      <c r="Z12" s="6">
        <v>0.625</v>
      </c>
      <c r="AA12" s="6">
        <f>+'[1]Tarif dist gazole 2016'!Y$10</f>
        <v>0.63</v>
      </c>
      <c r="AB12" s="6">
        <f>+'[1]Tarif dist gazole 2016'!Z$10</f>
        <v>0.622</v>
      </c>
      <c r="AC12" s="6">
        <f>+'[1]Tarif dist gazole 2016'!AA$10</f>
        <v>0.68300000000000005</v>
      </c>
      <c r="AD12" s="6">
        <f>+'[1]Tarif dist gazole 2016'!AB$10</f>
        <v>0.65500000000000003</v>
      </c>
      <c r="AE12" s="6">
        <f>+'[1]Tarif dist gazole 2016'!AC$10</f>
        <v>0.65900000000000003</v>
      </c>
      <c r="AF12" s="6">
        <f>+'[1]Tarif dist gazole 2016'!AD$10</f>
        <v>0.69600000000000006</v>
      </c>
      <c r="AG12" s="6">
        <f>+'[1]Tarif dist gazole 2016'!AE$10</f>
        <v>0.74299999999999999</v>
      </c>
      <c r="AH12" s="6">
        <f>+'[1]Tarif dist gazole 2016'!AF$10</f>
        <v>0.73199999999999998</v>
      </c>
      <c r="AI12" s="6">
        <f>+'[1]Tarif dist gazole 2016'!AG$10</f>
        <v>0.73199999999999998</v>
      </c>
      <c r="AJ12" s="6">
        <f>+'[1]Tarif dist gazole 2016'!AH$10</f>
        <v>0.74299999999999999</v>
      </c>
      <c r="AK12" s="6">
        <f>+'[1]Tarif dist gazole 2016'!AI$10</f>
        <v>0.76400000000000001</v>
      </c>
      <c r="AL12" s="6">
        <f>+'[1]Tarif dist gazole 2016'!AJ$10</f>
        <v>0.79800000000000004</v>
      </c>
      <c r="AM12" s="6">
        <f>+'[1]Tarif dist gazole 2016'!AK$10</f>
        <v>0.74</v>
      </c>
      <c r="AN12" s="6">
        <f>+'[1]Tarif dist gazole 2016'!AL$10</f>
        <v>0.67200000000000004</v>
      </c>
      <c r="AO12" s="6">
        <f>+'[1]Tarif dist gazole 2016'!AM$10</f>
        <v>0.67300000000000004</v>
      </c>
      <c r="AP12" s="6">
        <f>+'[1]Tarif dist gazole 2016'!AN$10</f>
        <v>0.67800000000000005</v>
      </c>
      <c r="AQ12" s="6">
        <f>+'[1]Tarif dist gazole 2016'!AO$10</f>
        <v>0.71099999999999997</v>
      </c>
      <c r="AR12" s="6">
        <f>+'[1]Tarif dist gazole 2016'!AP$10</f>
        <v>0.71599999999999997</v>
      </c>
      <c r="AS12" s="6">
        <f>+'[1]Tarif dist gazole 2016'!AQ$10</f>
        <v>0.73299999999999998</v>
      </c>
      <c r="AT12" s="6">
        <f>+'[1]Tarif dist gazole 2016'!AR$10</f>
        <v>0.73699999999999999</v>
      </c>
      <c r="AU12" s="6">
        <f>+'[1]Tarif dist gazole 2016'!AS$10</f>
        <v>0.68100000000000005</v>
      </c>
      <c r="AV12" s="6">
        <f>+'[1]Tarif dist gazole 2016'!AT$10</f>
        <v>0.69900000000000007</v>
      </c>
      <c r="AW12" s="6">
        <f>+'[1]Tarif dist gazole 2016'!AU$10</f>
        <v>0.68300000000000005</v>
      </c>
      <c r="AX12" s="6">
        <f>+'[1]Tarif dist gazole 2016'!AV$10</f>
        <v>0.71299999999999997</v>
      </c>
      <c r="AY12" s="6">
        <f>0.02+0.684</f>
        <v>0.70400000000000007</v>
      </c>
      <c r="AZ12" s="6">
        <f>0.02+0.681</f>
        <v>0.70100000000000007</v>
      </c>
      <c r="BA12" s="6">
        <f>0.02+0.695</f>
        <v>0.71499999999999997</v>
      </c>
      <c r="BB12" s="6">
        <f>0.021+0.695</f>
        <v>0.71599999999999997</v>
      </c>
      <c r="BC12" s="6">
        <f>0.021+0.678</f>
        <v>0.69900000000000007</v>
      </c>
      <c r="BD12" s="6">
        <f>0.021+0.62926</f>
        <v>0.65026000000000006</v>
      </c>
      <c r="BE12" s="6">
        <f>0.021+0.50309</f>
        <v>0.52409000000000006</v>
      </c>
      <c r="BF12" s="6">
        <f>0.021+0.431</f>
        <v>0.45200000000000001</v>
      </c>
      <c r="BG12" s="6">
        <f>0.021+0.443</f>
        <v>0.46400000000000002</v>
      </c>
      <c r="BH12" s="6">
        <f>0.021+0.49343</f>
        <v>0.51442999999999994</v>
      </c>
      <c r="BI12" s="6">
        <f>0.021+0.51532</f>
        <v>0.53632000000000002</v>
      </c>
      <c r="BJ12" s="6">
        <f>0.021+0.50707</f>
        <v>0.52807000000000004</v>
      </c>
      <c r="BK12" s="6">
        <f>0.021+0.475</f>
        <v>0.496</v>
      </c>
      <c r="BL12" s="6">
        <f>0.021+0.4795</f>
        <v>0.50049999999999994</v>
      </c>
      <c r="BM12" s="6">
        <f>0.021+0.4955</f>
        <v>0.51649999999999996</v>
      </c>
      <c r="BN12" s="6">
        <f>0.021+0.533</f>
        <v>0.55400000000000005</v>
      </c>
      <c r="BO12" s="6">
        <f>0.026+0.533</f>
        <v>0.55900000000000005</v>
      </c>
      <c r="BP12" s="6">
        <f>0.026+0.568</f>
        <v>0.59399999999999997</v>
      </c>
      <c r="BQ12" s="6">
        <f>0.026+0.61</f>
        <v>0.63600000000000001</v>
      </c>
      <c r="BR12" s="6">
        <f>0.026+0.6245</f>
        <v>0.65050000000000008</v>
      </c>
      <c r="BS12" s="6">
        <f>0.026+0.617</f>
        <v>0.64300000000000002</v>
      </c>
      <c r="BT12" s="6">
        <f>0.026+0.638</f>
        <v>0.66400000000000003</v>
      </c>
      <c r="BU12" s="6">
        <f>0.026+0.6695</f>
        <v>0.69550000000000001</v>
      </c>
      <c r="BV12" s="6">
        <f>0.026+0.68059</f>
        <v>0.70659000000000005</v>
      </c>
      <c r="BW12" s="6">
        <f>0.026+0.6695</f>
        <v>0.69550000000000001</v>
      </c>
      <c r="BX12" s="6">
        <f>0.026+0.70931</f>
        <v>0.73531000000000002</v>
      </c>
      <c r="BY12" s="6">
        <f>0.026+0.78536</f>
        <v>0.81135999999999997</v>
      </c>
      <c r="BZ12" s="6">
        <f>0.026+0.7746</f>
        <v>0.80059999999999998</v>
      </c>
      <c r="CA12" s="6">
        <f>0.026+0.74672</f>
        <v>0.77272000000000007</v>
      </c>
    </row>
    <row r="13" spans="1:79" ht="12.75" customHeight="1" x14ac:dyDescent="0.2">
      <c r="B13" s="5" t="s">
        <v>1</v>
      </c>
      <c r="J13" s="31" t="s">
        <v>1</v>
      </c>
      <c r="K13" s="31"/>
      <c r="L13" s="31"/>
      <c r="M13" s="31"/>
      <c r="N13" s="31"/>
      <c r="O13" s="6">
        <v>0.10299999999999999</v>
      </c>
      <c r="P13" s="6">
        <v>0.10299999999999999</v>
      </c>
      <c r="Q13" s="6">
        <v>0.10299999999999999</v>
      </c>
      <c r="R13" s="6">
        <v>0.10299999999999999</v>
      </c>
      <c r="S13" s="6">
        <v>0.10299999999999999</v>
      </c>
      <c r="T13" s="6">
        <v>0.10299999999999999</v>
      </c>
      <c r="U13" s="6">
        <v>0.10299999999999999</v>
      </c>
      <c r="V13" s="6">
        <v>0.10299999999999999</v>
      </c>
      <c r="W13" s="6">
        <v>0.10299999999999999</v>
      </c>
      <c r="X13" s="6">
        <v>0.10299999999999999</v>
      </c>
      <c r="Y13" s="6">
        <v>0.10299999999999999</v>
      </c>
      <c r="Z13" s="6">
        <v>0.10299999999999999</v>
      </c>
      <c r="AA13" s="6">
        <v>0.10299999999999999</v>
      </c>
      <c r="AB13" s="6">
        <v>9.9000000000000005E-2</v>
      </c>
      <c r="AC13" s="6">
        <v>9.9000000000000005E-2</v>
      </c>
      <c r="AD13" s="6">
        <v>9.9000000000000005E-2</v>
      </c>
      <c r="AE13" s="6">
        <v>9.9000000000000005E-2</v>
      </c>
      <c r="AF13" s="6">
        <v>9.9000000000000005E-2</v>
      </c>
      <c r="AG13" s="6">
        <v>9.9000000000000005E-2</v>
      </c>
      <c r="AH13" s="6">
        <v>9.9000000000000005E-2</v>
      </c>
      <c r="AI13" s="6">
        <v>9.9000000000000005E-2</v>
      </c>
      <c r="AJ13" s="6">
        <v>9.9000000000000005E-2</v>
      </c>
      <c r="AK13" s="6">
        <v>9.9000000000000005E-2</v>
      </c>
      <c r="AL13" s="6">
        <v>9.9000000000000005E-2</v>
      </c>
      <c r="AM13" s="6">
        <v>9.9000000000000005E-2</v>
      </c>
      <c r="AN13" s="6">
        <v>9.9000000000000005E-2</v>
      </c>
      <c r="AO13" s="6">
        <v>0.1</v>
      </c>
      <c r="AP13" s="6">
        <v>0.1</v>
      </c>
      <c r="AQ13" s="6">
        <v>0.1</v>
      </c>
      <c r="AR13" s="6">
        <v>0.1</v>
      </c>
      <c r="AS13" s="6">
        <v>0.1</v>
      </c>
      <c r="AT13" s="6">
        <v>0.1</v>
      </c>
      <c r="AU13" s="6">
        <v>0.1</v>
      </c>
      <c r="AV13" s="6">
        <v>0.1</v>
      </c>
      <c r="AW13" s="6">
        <v>0.1</v>
      </c>
      <c r="AX13" s="6">
        <v>0.1</v>
      </c>
      <c r="AY13" s="6">
        <v>0.1</v>
      </c>
      <c r="AZ13" s="6">
        <v>0.1</v>
      </c>
      <c r="BA13" s="6">
        <v>0.1</v>
      </c>
      <c r="BB13" s="6">
        <v>9.8000000000000004E-2</v>
      </c>
      <c r="BC13" s="6">
        <v>9.8000000000000004E-2</v>
      </c>
      <c r="BD13" s="6">
        <v>9.8000000000000004E-2</v>
      </c>
      <c r="BE13" s="6">
        <v>9.8000000000000004E-2</v>
      </c>
      <c r="BF13" s="6">
        <v>9.8000000000000004E-2</v>
      </c>
      <c r="BG13" s="6">
        <v>9.8000000000000004E-2</v>
      </c>
      <c r="BH13" s="6">
        <v>9.8000000000000004E-2</v>
      </c>
      <c r="BI13" s="6">
        <v>9.8000000000000004E-2</v>
      </c>
      <c r="BJ13" s="6">
        <v>9.8000000000000004E-2</v>
      </c>
      <c r="BK13" s="6">
        <v>9.8000000000000004E-2</v>
      </c>
      <c r="BL13" s="6">
        <v>9.8000000000000004E-2</v>
      </c>
      <c r="BM13" s="6">
        <v>9.8000000000000004E-2</v>
      </c>
      <c r="BN13" s="6">
        <v>9.8000000000000004E-2</v>
      </c>
      <c r="BO13" s="6">
        <v>9.9000000000000005E-2</v>
      </c>
      <c r="BP13" s="6">
        <v>9.9000000000000005E-2</v>
      </c>
      <c r="BQ13" s="6">
        <v>9.9000000000000005E-2</v>
      </c>
      <c r="BR13" s="6">
        <v>9.9000000000000005E-2</v>
      </c>
      <c r="BS13" s="6">
        <v>9.9000000000000005E-2</v>
      </c>
      <c r="BT13" s="6">
        <v>9.9000000000000005E-2</v>
      </c>
      <c r="BU13" s="6">
        <v>9.9000000000000005E-2</v>
      </c>
      <c r="BV13" s="6">
        <v>9.9000000000000005E-2</v>
      </c>
      <c r="BW13" s="6">
        <v>9.9000000000000005E-2</v>
      </c>
      <c r="BX13" s="6">
        <v>9.9000000000000005E-2</v>
      </c>
      <c r="BY13" s="6">
        <v>9.9000000000000005E-2</v>
      </c>
      <c r="BZ13" s="6">
        <v>9.9000000000000005E-2</v>
      </c>
      <c r="CA13" s="6">
        <v>9.9000000000000005E-2</v>
      </c>
    </row>
    <row r="14" spans="1:79" ht="12.75" customHeight="1" x14ac:dyDescent="0.2">
      <c r="B14" s="5" t="s">
        <v>2</v>
      </c>
      <c r="J14" s="31" t="s">
        <v>2</v>
      </c>
      <c r="K14" s="31"/>
      <c r="L14" s="31"/>
      <c r="M14" s="31"/>
      <c r="N14" s="31"/>
      <c r="O14" s="6">
        <v>3.2000000000000001E-2</v>
      </c>
      <c r="P14" s="6">
        <v>3.2000000000000001E-2</v>
      </c>
      <c r="Q14" s="6">
        <v>3.2000000000000001E-2</v>
      </c>
      <c r="R14" s="6">
        <v>3.2000000000000001E-2</v>
      </c>
      <c r="S14" s="6">
        <v>3.2000000000000001E-2</v>
      </c>
      <c r="T14" s="6">
        <v>3.2000000000000001E-2</v>
      </c>
      <c r="U14" s="6">
        <v>3.2000000000000001E-2</v>
      </c>
      <c r="V14" s="6">
        <v>3.2000000000000001E-2</v>
      </c>
      <c r="W14" s="6">
        <v>3.2000000000000001E-2</v>
      </c>
      <c r="X14" s="6">
        <v>3.2000000000000001E-2</v>
      </c>
      <c r="Y14" s="6">
        <v>3.2000000000000001E-2</v>
      </c>
      <c r="Z14" s="6">
        <v>3.2000000000000001E-2</v>
      </c>
      <c r="AA14" s="6">
        <v>3.2000000000000001E-2</v>
      </c>
      <c r="AB14" s="6">
        <v>3.3000000000000002E-2</v>
      </c>
      <c r="AC14" s="6">
        <v>3.3000000000000002E-2</v>
      </c>
      <c r="AD14" s="6">
        <v>3.3000000000000002E-2</v>
      </c>
      <c r="AE14" s="6">
        <v>3.3000000000000002E-2</v>
      </c>
      <c r="AF14" s="6">
        <v>3.3000000000000002E-2</v>
      </c>
      <c r="AG14" s="6">
        <v>3.3000000000000002E-2</v>
      </c>
      <c r="AH14" s="6">
        <v>3.3000000000000002E-2</v>
      </c>
      <c r="AI14" s="6">
        <v>3.3000000000000002E-2</v>
      </c>
      <c r="AJ14" s="6">
        <v>3.3000000000000002E-2</v>
      </c>
      <c r="AK14" s="6">
        <v>3.3000000000000002E-2</v>
      </c>
      <c r="AL14" s="6">
        <v>3.3000000000000002E-2</v>
      </c>
      <c r="AM14" s="6">
        <v>3.3000000000000002E-2</v>
      </c>
      <c r="AN14" s="6">
        <v>3.3000000000000002E-2</v>
      </c>
      <c r="AO14" s="6">
        <v>3.9E-2</v>
      </c>
      <c r="AP14" s="6">
        <v>3.9E-2</v>
      </c>
      <c r="AQ14" s="6">
        <v>3.9E-2</v>
      </c>
      <c r="AR14" s="6">
        <v>3.9E-2</v>
      </c>
      <c r="AS14" s="6">
        <v>3.9E-2</v>
      </c>
      <c r="AT14" s="6">
        <v>3.9E-2</v>
      </c>
      <c r="AU14" s="6">
        <v>3.9E-2</v>
      </c>
      <c r="AV14" s="6">
        <v>3.9E-2</v>
      </c>
      <c r="AW14" s="6">
        <v>3.9E-2</v>
      </c>
      <c r="AX14" s="6">
        <v>3.9E-2</v>
      </c>
      <c r="AY14" s="6">
        <v>3.9E-2</v>
      </c>
      <c r="AZ14" s="6">
        <v>3.9E-2</v>
      </c>
      <c r="BA14" s="6">
        <v>3.9E-2</v>
      </c>
      <c r="BB14" s="6">
        <v>4.1000000000000002E-2</v>
      </c>
      <c r="BC14" s="6">
        <v>4.1000000000000002E-2</v>
      </c>
      <c r="BD14" s="6">
        <v>4.1000000000000002E-2</v>
      </c>
      <c r="BE14" s="6">
        <v>4.1000000000000002E-2</v>
      </c>
      <c r="BF14" s="6">
        <v>4.1000000000000002E-2</v>
      </c>
      <c r="BG14" s="6">
        <v>4.1000000000000002E-2</v>
      </c>
      <c r="BH14" s="6">
        <v>4.1000000000000002E-2</v>
      </c>
      <c r="BI14" s="6">
        <v>4.1000000000000002E-2</v>
      </c>
      <c r="BJ14" s="6">
        <v>4.1000000000000002E-2</v>
      </c>
      <c r="BK14" s="6">
        <v>4.1000000000000002E-2</v>
      </c>
      <c r="BL14" s="6">
        <v>4.1000000000000002E-2</v>
      </c>
      <c r="BM14" s="6">
        <v>4.1000000000000002E-2</v>
      </c>
      <c r="BN14" s="6">
        <v>4.1000000000000002E-2</v>
      </c>
      <c r="BO14" s="6">
        <v>4.2999999999999997E-2</v>
      </c>
      <c r="BP14" s="6">
        <v>4.2999999999999997E-2</v>
      </c>
      <c r="BQ14" s="6">
        <v>4.2999999999999997E-2</v>
      </c>
      <c r="BR14" s="6">
        <v>4.2999999999999997E-2</v>
      </c>
      <c r="BS14" s="6">
        <v>4.2999999999999997E-2</v>
      </c>
      <c r="BT14" s="6">
        <v>4.2999999999999997E-2</v>
      </c>
      <c r="BU14" s="6">
        <v>4.2999999999999997E-2</v>
      </c>
      <c r="BV14" s="6">
        <v>4.2999999999999997E-2</v>
      </c>
      <c r="BW14" s="6">
        <v>4.2999999999999997E-2</v>
      </c>
      <c r="BX14" s="6">
        <v>4.2999999999999997E-2</v>
      </c>
      <c r="BY14" s="6">
        <v>4.2999999999999997E-2</v>
      </c>
      <c r="BZ14" s="6">
        <v>4.2999999999999997E-2</v>
      </c>
      <c r="CA14" s="6">
        <v>4.2999999999999997E-2</v>
      </c>
    </row>
    <row r="15" spans="1:79" ht="12.75" customHeight="1" x14ac:dyDescent="0.2"/>
    <row r="16" spans="1:79" ht="12.75" customHeight="1" x14ac:dyDescent="0.2">
      <c r="B16" s="7" t="s">
        <v>3</v>
      </c>
      <c r="J16" s="32" t="s">
        <v>3</v>
      </c>
      <c r="K16" s="32"/>
      <c r="L16" s="32"/>
      <c r="M16" s="32"/>
      <c r="N16" s="32"/>
      <c r="O16" s="6">
        <f>O12+O13+O14</f>
        <v>0.72262999999999999</v>
      </c>
      <c r="P16" s="6">
        <f t="shared" ref="P16:AA16" si="7">P12+P13+P14</f>
        <v>0.75863000000000003</v>
      </c>
      <c r="Q16" s="6">
        <f t="shared" si="7"/>
        <v>0.76163000000000003</v>
      </c>
      <c r="R16" s="6">
        <f t="shared" si="7"/>
        <v>0.72663</v>
      </c>
      <c r="S16" s="6">
        <f t="shared" si="7"/>
        <v>0.73663000000000001</v>
      </c>
      <c r="T16" s="6">
        <f t="shared" si="7"/>
        <v>0.70662999999999998</v>
      </c>
      <c r="U16" s="6">
        <f t="shared" si="7"/>
        <v>0.67763000000000007</v>
      </c>
      <c r="V16" s="6">
        <f t="shared" si="7"/>
        <v>0.69062999999999997</v>
      </c>
      <c r="W16" s="6">
        <f t="shared" si="7"/>
        <v>0.70062999999999998</v>
      </c>
      <c r="X16" s="6">
        <f t="shared" si="7"/>
        <v>0.73063</v>
      </c>
      <c r="Y16" s="6">
        <f t="shared" si="7"/>
        <v>0.73763000000000001</v>
      </c>
      <c r="Z16" s="6">
        <f t="shared" si="7"/>
        <v>0.76</v>
      </c>
      <c r="AA16" s="6">
        <f t="shared" si="7"/>
        <v>0.76500000000000001</v>
      </c>
      <c r="AB16" s="6">
        <f>AB12+AB13+AB14</f>
        <v>0.754</v>
      </c>
      <c r="AC16" s="6">
        <f t="shared" ref="AC16:AN16" si="8">AC12+AC13+AC14</f>
        <v>0.81500000000000006</v>
      </c>
      <c r="AD16" s="6">
        <f t="shared" si="8"/>
        <v>0.78700000000000003</v>
      </c>
      <c r="AE16" s="6">
        <f t="shared" si="8"/>
        <v>0.79100000000000004</v>
      </c>
      <c r="AF16" s="6">
        <f t="shared" si="8"/>
        <v>0.82800000000000007</v>
      </c>
      <c r="AG16" s="6">
        <f t="shared" si="8"/>
        <v>0.875</v>
      </c>
      <c r="AH16" s="6">
        <f t="shared" si="8"/>
        <v>0.86399999999999999</v>
      </c>
      <c r="AI16" s="6">
        <f t="shared" si="8"/>
        <v>0.86399999999999999</v>
      </c>
      <c r="AJ16" s="6">
        <f t="shared" si="8"/>
        <v>0.875</v>
      </c>
      <c r="AK16" s="6">
        <f t="shared" si="8"/>
        <v>0.89600000000000002</v>
      </c>
      <c r="AL16" s="6">
        <f t="shared" si="8"/>
        <v>0.93</v>
      </c>
      <c r="AM16" s="6">
        <f t="shared" si="8"/>
        <v>0.872</v>
      </c>
      <c r="AN16" s="6">
        <f t="shared" si="8"/>
        <v>0.80400000000000005</v>
      </c>
      <c r="AO16" s="6">
        <f>AO12+AO13+AO14</f>
        <v>0.81200000000000006</v>
      </c>
      <c r="AP16" s="6">
        <f t="shared" ref="AP16:CA16" si="9">AP12+AP13+AP14</f>
        <v>0.81700000000000006</v>
      </c>
      <c r="AQ16" s="6">
        <f t="shared" si="9"/>
        <v>0.85</v>
      </c>
      <c r="AR16" s="6">
        <f t="shared" si="9"/>
        <v>0.85499999999999998</v>
      </c>
      <c r="AS16" s="6">
        <f t="shared" si="9"/>
        <v>0.872</v>
      </c>
      <c r="AT16" s="6">
        <f t="shared" si="9"/>
        <v>0.876</v>
      </c>
      <c r="AU16" s="6">
        <f t="shared" si="9"/>
        <v>0.82000000000000006</v>
      </c>
      <c r="AV16" s="6">
        <f t="shared" si="9"/>
        <v>0.83800000000000008</v>
      </c>
      <c r="AW16" s="6">
        <f t="shared" si="9"/>
        <v>0.82200000000000006</v>
      </c>
      <c r="AX16" s="6">
        <f t="shared" si="9"/>
        <v>0.85199999999999998</v>
      </c>
      <c r="AY16" s="6">
        <f t="shared" si="9"/>
        <v>0.84300000000000008</v>
      </c>
      <c r="AZ16" s="6">
        <f t="shared" si="9"/>
        <v>0.84000000000000008</v>
      </c>
      <c r="BA16" s="6">
        <f t="shared" si="9"/>
        <v>0.85399999999999998</v>
      </c>
      <c r="BB16" s="6">
        <f t="shared" si="9"/>
        <v>0.85499999999999998</v>
      </c>
      <c r="BC16" s="6">
        <f t="shared" si="9"/>
        <v>0.83800000000000008</v>
      </c>
      <c r="BD16" s="6">
        <f t="shared" si="9"/>
        <v>0.78926000000000007</v>
      </c>
      <c r="BE16" s="6">
        <f t="shared" si="9"/>
        <v>0.66309000000000007</v>
      </c>
      <c r="BF16" s="6">
        <f t="shared" si="9"/>
        <v>0.59100000000000008</v>
      </c>
      <c r="BG16" s="6">
        <f t="shared" si="9"/>
        <v>0.60300000000000009</v>
      </c>
      <c r="BH16" s="6">
        <f t="shared" si="9"/>
        <v>0.65342999999999996</v>
      </c>
      <c r="BI16" s="6">
        <f t="shared" si="9"/>
        <v>0.67532000000000003</v>
      </c>
      <c r="BJ16" s="6">
        <f t="shared" si="9"/>
        <v>0.66707000000000005</v>
      </c>
      <c r="BK16" s="6">
        <f t="shared" si="9"/>
        <v>0.63500000000000001</v>
      </c>
      <c r="BL16" s="6">
        <f t="shared" si="9"/>
        <v>0.63949999999999996</v>
      </c>
      <c r="BM16" s="6">
        <f t="shared" si="9"/>
        <v>0.65549999999999997</v>
      </c>
      <c r="BN16" s="6">
        <f t="shared" si="9"/>
        <v>0.69300000000000006</v>
      </c>
      <c r="BO16" s="6">
        <f t="shared" si="9"/>
        <v>0.70100000000000007</v>
      </c>
      <c r="BP16" s="6">
        <f t="shared" si="9"/>
        <v>0.73599999999999999</v>
      </c>
      <c r="BQ16" s="6">
        <f t="shared" si="9"/>
        <v>0.77800000000000002</v>
      </c>
      <c r="BR16" s="6">
        <f t="shared" si="9"/>
        <v>0.79250000000000009</v>
      </c>
      <c r="BS16" s="6">
        <f t="shared" si="9"/>
        <v>0.78500000000000003</v>
      </c>
      <c r="BT16" s="6">
        <f t="shared" si="9"/>
        <v>0.80600000000000005</v>
      </c>
      <c r="BU16" s="6">
        <f t="shared" si="9"/>
        <v>0.83750000000000002</v>
      </c>
      <c r="BV16" s="6">
        <f t="shared" si="9"/>
        <v>0.84859000000000007</v>
      </c>
      <c r="BW16" s="6">
        <f t="shared" si="9"/>
        <v>0.83750000000000002</v>
      </c>
      <c r="BX16" s="6">
        <f t="shared" si="9"/>
        <v>0.87731000000000003</v>
      </c>
      <c r="BY16" s="6">
        <f t="shared" si="9"/>
        <v>0.95335999999999999</v>
      </c>
      <c r="BZ16" s="6">
        <f t="shared" si="9"/>
        <v>0.94259999999999999</v>
      </c>
      <c r="CA16" s="6">
        <f t="shared" si="9"/>
        <v>0.91472000000000009</v>
      </c>
    </row>
    <row r="18" spans="10:61" x14ac:dyDescent="0.2">
      <c r="J18" s="38" t="s">
        <v>7</v>
      </c>
      <c r="K18" s="39"/>
      <c r="L18" s="39"/>
      <c r="M18" s="39"/>
      <c r="N18" s="40"/>
      <c r="O18" s="6">
        <f>+O16-O8</f>
        <v>-3.5369999999999902E-2</v>
      </c>
      <c r="P18" s="6">
        <f t="shared" ref="P18:Y18" si="10">+P16-P8</f>
        <v>-3.5369999999999902E-2</v>
      </c>
      <c r="Q18" s="6">
        <f t="shared" si="10"/>
        <v>-3.5370000000000013E-2</v>
      </c>
      <c r="R18" s="6">
        <f t="shared" si="10"/>
        <v>-3.5369999999999902E-2</v>
      </c>
      <c r="S18" s="6">
        <f t="shared" si="10"/>
        <v>-3.5369999999999902E-2</v>
      </c>
      <c r="T18" s="6">
        <f t="shared" si="10"/>
        <v>-3.5369999999999902E-2</v>
      </c>
      <c r="U18" s="6">
        <f t="shared" si="10"/>
        <v>-3.5369999999999902E-2</v>
      </c>
      <c r="V18" s="6">
        <f t="shared" si="10"/>
        <v>-3.5369999999999902E-2</v>
      </c>
      <c r="W18" s="6">
        <f t="shared" si="10"/>
        <v>-3.5369999999999902E-2</v>
      </c>
      <c r="X18" s="6">
        <f t="shared" si="10"/>
        <v>-3.5369999999999902E-2</v>
      </c>
      <c r="Y18" s="6">
        <f t="shared" si="10"/>
        <v>-3.5370000000000013E-2</v>
      </c>
    </row>
    <row r="19" spans="10:61" x14ac:dyDescent="0.2">
      <c r="BD19" s="15">
        <f t="shared" ref="BD19:BI19" si="11">BD16/BC16-1</f>
        <v>-5.8162291169451041E-2</v>
      </c>
      <c r="BE19" s="15">
        <f t="shared" si="11"/>
        <v>-0.1598586017282011</v>
      </c>
      <c r="BF19" s="15">
        <f t="shared" si="11"/>
        <v>-0.10871827353752883</v>
      </c>
      <c r="BG19" s="15">
        <f t="shared" si="11"/>
        <v>2.0304568527918843E-2</v>
      </c>
      <c r="BH19" s="15">
        <f t="shared" si="11"/>
        <v>8.3631840796019707E-2</v>
      </c>
      <c r="BI19" s="15">
        <f t="shared" si="11"/>
        <v>3.3500145386652136E-2</v>
      </c>
    </row>
  </sheetData>
  <mergeCells count="11">
    <mergeCell ref="C2:O2"/>
    <mergeCell ref="P2:Y2"/>
    <mergeCell ref="O10:AA10"/>
    <mergeCell ref="AB10:AN10"/>
    <mergeCell ref="J18:N18"/>
    <mergeCell ref="AO10:BB10"/>
    <mergeCell ref="J12:N12"/>
    <mergeCell ref="J13:N13"/>
    <mergeCell ref="J14:N14"/>
    <mergeCell ref="J16:N16"/>
    <mergeCell ref="J11:N11"/>
  </mergeCells>
  <pageMargins left="0.7" right="0.7" top="0.75" bottom="0.75" header="0.3" footer="0.3"/>
  <pageSetup paperSize="9" orientation="portrait" r:id="rId1"/>
  <headerFooter>
    <oddFooter>&amp;L&amp;1#&amp;"Calibri"&amp;10&amp;K008000Interne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tion xmlns="8e86eb9b-9ec2-4c48-a0f6-0dbeebb4e12a" xsi:nil="true"/>
    <lcf76f155ced4ddcb4097134ff3c332f xmlns="8e86eb9b-9ec2-4c48-a0f6-0dbeebb4e12a">
      <Terms xmlns="http://schemas.microsoft.com/office/infopath/2007/PartnerControls"/>
    </lcf76f155ced4ddcb4097134ff3c332f>
    <TaxCatchAll xmlns="acea28cf-df4a-4bea-8e92-2aa557dab4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19EED211CBB4692C854F661344DF9" ma:contentTypeVersion="20" ma:contentTypeDescription="Crée un document." ma:contentTypeScope="" ma:versionID="e896035800a77754cc75c8576f4fb2c6">
  <xsd:schema xmlns:xsd="http://www.w3.org/2001/XMLSchema" xmlns:xs="http://www.w3.org/2001/XMLSchema" xmlns:p="http://schemas.microsoft.com/office/2006/metadata/properties" xmlns:ns2="acea28cf-df4a-4bea-8e92-2aa557dab406" xmlns:ns3="8e86eb9b-9ec2-4c48-a0f6-0dbeebb4e12a" targetNamespace="http://schemas.microsoft.com/office/2006/metadata/properties" ma:root="true" ma:fieldsID="0391538288d43469b8d7eb9d43b43562" ns2:_="" ns3:_="">
    <xsd:import namespace="acea28cf-df4a-4bea-8e92-2aa557dab406"/>
    <xsd:import namespace="8e86eb9b-9ec2-4c48-a0f6-0dbeebb4e1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Descri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a28cf-df4a-4bea-8e92-2aa557dab4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811b51-1e04-464f-8752-68e30fa7a687}" ma:internalName="TaxCatchAll" ma:showField="CatchAllData" ma:web="acea28cf-df4a-4bea-8e92-2aa557dab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eb9b-9ec2-4c48-a0f6-0dbeebb4e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096f5d6-3256-4090-9362-038d665d19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escrition" ma:index="24" nillable="true" ma:displayName="Descrition" ma:format="Dropdown" ma:internalName="Descrition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8A945-E37A-45E6-8D43-F9B6929A1725}">
  <ds:schemaRefs>
    <ds:schemaRef ds:uri="http://schemas.microsoft.com/office/2006/metadata/properties"/>
    <ds:schemaRef ds:uri="http://schemas.microsoft.com/office/infopath/2007/PartnerControls"/>
    <ds:schemaRef ds:uri="8e86eb9b-9ec2-4c48-a0f6-0dbeebb4e12a"/>
    <ds:schemaRef ds:uri="acea28cf-df4a-4bea-8e92-2aa557dab406"/>
  </ds:schemaRefs>
</ds:datastoreItem>
</file>

<file path=customXml/itemProps2.xml><?xml version="1.0" encoding="utf-8"?>
<ds:datastoreItem xmlns:ds="http://schemas.openxmlformats.org/officeDocument/2006/customXml" ds:itemID="{4BE4D451-1149-4EDF-8041-D8D05D83F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83A96-0A37-4537-98FC-3F91A19FA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a28cf-df4a-4bea-8e92-2aa557dab406"/>
    <ds:schemaRef ds:uri="8e86eb9b-9ec2-4c48-a0f6-0dbeebb4e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Tarif gazole B7 ORC en cours</vt:lpstr>
      <vt:lpstr>Tarif B100 ORC en cours</vt:lpstr>
      <vt:lpstr>Historique tarifs gazole SNCF</vt:lpstr>
      <vt:lpstr>'Tarif B100 ORC en cours'!Zone_d_impression</vt:lpstr>
      <vt:lpstr>'Tarif gazole B7 ORC en cours'!Zone_d_impression</vt:lpstr>
    </vt:vector>
  </TitlesOfParts>
  <Company>SNCF Master SNCF 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</dc:creator>
  <cp:lastModifiedBy>8012027A</cp:lastModifiedBy>
  <cp:lastPrinted>2016-07-07T13:09:40Z</cp:lastPrinted>
  <dcterms:created xsi:type="dcterms:W3CDTF">2010-01-14T16:07:56Z</dcterms:created>
  <dcterms:modified xsi:type="dcterms:W3CDTF">2026-07-06T16:15:19Z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d3f7c8-5c4b-4ab6-9486-a0a9eb08efa7_Enabled">
    <vt:lpwstr>true</vt:lpwstr>
  </property>
  <property fmtid="{D5CDD505-2E9C-101B-9397-08002B2CF9AE}" pid="3" name="MSIP_Label_c8d3f7c8-5c4b-4ab6-9486-a0a9eb08efa7_SetDate">
    <vt:lpwstr>2024-05-06T15:43:33Z</vt:lpwstr>
  </property>
  <property fmtid="{D5CDD505-2E9C-101B-9397-08002B2CF9AE}" pid="4" name="MSIP_Label_c8d3f7c8-5c4b-4ab6-9486-a0a9eb08efa7_Method">
    <vt:lpwstr>Standard</vt:lpwstr>
  </property>
  <property fmtid="{D5CDD505-2E9C-101B-9397-08002B2CF9AE}" pid="5" name="MSIP_Label_c8d3f7c8-5c4b-4ab6-9486-a0a9eb08efa7_Name">
    <vt:lpwstr>Interne - Groupe</vt:lpwstr>
  </property>
  <property fmtid="{D5CDD505-2E9C-101B-9397-08002B2CF9AE}" pid="6" name="MSIP_Label_c8d3f7c8-5c4b-4ab6-9486-a0a9eb08efa7_SiteId">
    <vt:lpwstr>4a7c8238-5799-4b16-9fc6-9ad8fce5a7d9</vt:lpwstr>
  </property>
  <property fmtid="{D5CDD505-2E9C-101B-9397-08002B2CF9AE}" pid="7" name="MSIP_Label_c8d3f7c8-5c4b-4ab6-9486-a0a9eb08efa7_ActionId">
    <vt:lpwstr>6cfe20e3-a89d-47f4-9cb7-4d3d4b924f08</vt:lpwstr>
  </property>
  <property fmtid="{D5CDD505-2E9C-101B-9397-08002B2CF9AE}" pid="8" name="MSIP_Label_c8d3f7c8-5c4b-4ab6-9486-a0a9eb08efa7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0x01010086C19EED211CBB4692C854F661344DF9</vt:lpwstr>
  </property>
</Properties>
</file>